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8" windowWidth="11352" windowHeight="8448" tabRatio="601" activeTab="0"/>
  </bookViews>
  <sheets>
    <sheet name=" 2022" sheetId="1" r:id="rId1"/>
  </sheets>
  <definedNames>
    <definedName name="_xlnm.Print_Area" localSheetId="0">' 2022'!$A$1:$BS$19</definedName>
  </definedNames>
  <calcPr fullCalcOnLoad="1"/>
</workbook>
</file>

<file path=xl/sharedStrings.xml><?xml version="1.0" encoding="utf-8"?>
<sst xmlns="http://schemas.openxmlformats.org/spreadsheetml/2006/main" count="218" uniqueCount="121">
  <si>
    <t>Муниципальное образование</t>
  </si>
  <si>
    <t>Расчет целевого значения индикатора</t>
  </si>
  <si>
    <t>Бальная оценка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</si>
  <si>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</si>
  <si>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</si>
  <si>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</si>
  <si>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</si>
  <si>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Аi – объем просроченной кредиторской задолженности в i-м муниципальном районе (городском округе) на конец отчетного периода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</si>
  <si>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</si>
  <si>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</si>
  <si>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</si>
  <si>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</si>
  <si>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</si>
  <si>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</si>
  <si>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</si>
  <si>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</si>
  <si>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</si>
  <si>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Аi – наличие МПА, устанавливающего порядок формирования муниципального задания</t>
  </si>
  <si>
    <t>Аi – наличие МПА, устанавливающего порядок финансового обеспечения выполнения муниципального задания</t>
  </si>
  <si>
    <t xml:space="preserve">Аi – наличие МПА, содержащего порядок проведения публичных слушаний по проекту бюджета </t>
  </si>
  <si>
    <t xml:space="preserve">Аi- фактический размер  дефицита бюджета  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</si>
  <si>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</si>
  <si>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</si>
  <si>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</si>
  <si>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Бальная оценка        (1или 0)</t>
  </si>
  <si>
    <t>Предельное значение индикатора</t>
  </si>
  <si>
    <t>≤0,05</t>
  </si>
  <si>
    <t>≤1,00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</si>
  <si>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</si>
  <si>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</si>
  <si>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</si>
  <si>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>≤5</t>
  </si>
  <si>
    <t>Аi - количество внесенных изменений в отчетном периоде  в решение о бюджете на соответствующий финансовый год</t>
  </si>
  <si>
    <t>Бальная оценка                   (5; 2; -1)</t>
  </si>
  <si>
    <t>Бальная оценка            (0;  0,5;   1)</t>
  </si>
  <si>
    <t>Бi – объем  налоговых и неналоговых доходов  в соответствии с кассовым планом</t>
  </si>
  <si>
    <t xml:space="preserve">Аi – уточненный план в соответствии с решением о бюджете на конец отчетного периода по налоговым и неналоговым доходам </t>
  </si>
  <si>
    <t>Бi – первоначальный план в соответствии с решением о бюджете на отчетный финансовый год по налоговым и неналоговым доходам</t>
  </si>
  <si>
    <t xml:space="preserve">Аi – объем фактически поступивших на конец отчетного периода налоговых и неналоговых доходов </t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</si>
  <si>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</si>
  <si>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t>В 2i - уточненный план по дотации на выравнивание бюджетной обеспеченности,  субсидии на выравнивание бюджетной обеспеченности, поступлений налоговых доходов по дополнительным нормативам отчислений на конец года, предшествующего отчетному</t>
  </si>
  <si>
    <t>Средства от продажи акций, снижение остатков средств на счетах, бюджетные кредиты</t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</si>
  <si>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</si>
  <si>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</si>
  <si>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В1i – уточненный план по дотации на выравнивание бюджетной обеспеченности, субсидии на выравнивание бюджетной обеспеченности, поступлений налоговых доходов по дополнительным нормативам отчислений  на конец отчетного года</t>
  </si>
  <si>
    <t>Аi – наличие фактов использования средств не по целевому назначению Количество)</t>
  </si>
  <si>
    <t>Бальная оценка          (0;-1)</t>
  </si>
  <si>
    <t>Бальная оценка (0;1)</t>
  </si>
  <si>
    <t xml:space="preserve"> 1 Бурмакинское</t>
  </si>
  <si>
    <t xml:space="preserve"> 2 Коныпское</t>
  </si>
  <si>
    <t xml:space="preserve"> 3 Кстининское</t>
  </si>
  <si>
    <t xml:space="preserve"> 4 Мокрецовское</t>
  </si>
  <si>
    <t xml:space="preserve"> 5 Пасеговское</t>
  </si>
  <si>
    <t xml:space="preserve"> 6 Поломское</t>
  </si>
  <si>
    <t xml:space="preserve"> 7 Просницкое</t>
  </si>
  <si>
    <t xml:space="preserve"> 8 Селезеневское</t>
  </si>
  <si>
    <t xml:space="preserve"> 9 Фатеевское</t>
  </si>
  <si>
    <t>10 Федяковское</t>
  </si>
  <si>
    <t>12 Чепецкое</t>
  </si>
  <si>
    <t>13 Чувашевское</t>
  </si>
  <si>
    <t>Р1.14 Размещение в средствах массовой информации и (или) на официальном сайте администрации муниципального района (городского округа)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</si>
  <si>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03.03.2011№8</t>
  </si>
  <si>
    <t>пост от 22.03.2012 №10</t>
  </si>
  <si>
    <t xml:space="preserve">Р1.7 Динамика соотношения объема налоговых и неналоговых доходов бюджета МО и объема дотаций на выравнивание бюджетной обеспеченности и субсидии  на поддержку мер по обеспечению сбалансированности бюджетов  </t>
  </si>
  <si>
    <t xml:space="preserve">Р2.1 МПА, устанавливающий порядок формирования муниципального задания </t>
  </si>
  <si>
    <t>Р2.2 МПА, устанавливающий порядок финансового обеспечения выполнения муниципального задания</t>
  </si>
  <si>
    <t xml:space="preserve">Р2.5 МПА, содержащий порядок проведения публичных слушаний по проекту бюджета </t>
  </si>
  <si>
    <t>Бальная оценка          (0;1)</t>
  </si>
  <si>
    <t>выполнение ДА / невыполнение НЕТ</t>
  </si>
  <si>
    <t>11 Филипповское</t>
  </si>
  <si>
    <t>Р 1.1"Соблюдение требований статьи 92.1 Бюджетного кодекса Российской Федерации по предельному объему дефицита бюджета муниципального района (городского округа)"                                                                                                                                                      за отчетный период</t>
  </si>
  <si>
    <r>
      <t xml:space="preserve">Р1.2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11"/>
        <color indexed="10"/>
        <rFont val="Times New Roman"/>
        <family val="1"/>
      </rPr>
      <t xml:space="preserve">  за отчетный период</t>
    </r>
  </si>
  <si>
    <r>
      <t xml:space="preserve">Р1.3 Удельный вес расходов бюджета, формируемых в рамках программ, в общем объеме расходов бюджета муниципального района (городского округа)                                                                              </t>
    </r>
    <r>
      <rPr>
        <b/>
        <sz val="11"/>
        <color indexed="10"/>
        <rFont val="Times New Roman"/>
        <family val="1"/>
      </rPr>
      <t>за отчетный период</t>
    </r>
  </si>
  <si>
    <r>
      <t xml:space="preserve">Р1.4 Количество внесенных изменений  в решение о бюджете                                                                 </t>
    </r>
    <r>
      <rPr>
        <b/>
        <sz val="11"/>
        <color indexed="10"/>
        <rFont val="Times New Roman"/>
        <family val="1"/>
      </rPr>
      <t>за год</t>
    </r>
  </si>
  <si>
    <r>
      <t xml:space="preserve">Р1.5 Отношение показателей уточненного плана по налоговым и неналоговым доходам сельского поселения к показателям первоначального плана                                </t>
    </r>
    <r>
      <rPr>
        <b/>
        <sz val="11"/>
        <color indexed="10"/>
        <rFont val="Times New Roman"/>
        <family val="1"/>
      </rPr>
      <t>за отчетный период</t>
    </r>
  </si>
  <si>
    <r>
      <t xml:space="preserve">Р1.6Соотношение фактически поступивших в  бюджеты поселений налоговых и неналоговых доходов к показателям кассового плана  </t>
    </r>
    <r>
      <rPr>
        <b/>
        <sz val="11"/>
        <color indexed="10"/>
        <rFont val="Times New Roman"/>
        <family val="1"/>
      </rPr>
      <t>за отчетный период</t>
    </r>
  </si>
  <si>
    <r>
      <t xml:space="preserve">Р1.8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11"/>
        <color indexed="10"/>
        <rFont val="Times New Roman"/>
        <family val="1"/>
      </rPr>
      <t>з</t>
    </r>
    <r>
      <rPr>
        <b/>
        <sz val="11"/>
        <color indexed="10"/>
        <rFont val="Times New Roman"/>
        <family val="1"/>
      </rPr>
      <t>а отчетный год</t>
    </r>
    <r>
      <rPr>
        <sz val="11"/>
        <rFont val="Times New Roman"/>
        <family val="1"/>
      </rPr>
      <t xml:space="preserve">
</t>
    </r>
  </si>
  <si>
    <r>
      <t xml:space="preserve">Р1.9 Наличие просроченной кредиторской задолженности                         </t>
    </r>
    <r>
      <rPr>
        <b/>
        <sz val="11"/>
        <color indexed="10"/>
        <rFont val="Times New Roman"/>
        <family val="1"/>
      </rPr>
      <t>за отчетный период</t>
    </r>
  </si>
  <si>
    <r>
      <t xml:space="preserve"> Р 1.10 Динамика удельного веса дебиторской задолженности к объему расходов бюджета                                      </t>
    </r>
    <r>
      <rPr>
        <b/>
        <sz val="11"/>
        <color indexed="10"/>
        <rFont val="Times New Roman"/>
        <family val="1"/>
      </rPr>
      <t>за отчетный год</t>
    </r>
  </si>
  <si>
    <r>
      <t xml:space="preserve">Р1.11 Наличие фактов использования средств не по целевому назначению                                                 </t>
    </r>
    <r>
      <rPr>
        <b/>
        <sz val="11"/>
        <color indexed="10"/>
        <rFont val="Times New Roman"/>
        <family val="1"/>
      </rPr>
      <t>за отчетный период</t>
    </r>
  </si>
  <si>
    <r>
      <t xml:space="preserve">Р1.13 выполнение/невыполнение плана мероприятий по повышению налоговых и неналоговых доходов бюджетов бюджетной системы РФ    </t>
    </r>
    <r>
      <rPr>
        <sz val="11"/>
        <color indexed="10"/>
        <rFont val="Times New Roman"/>
        <family val="1"/>
      </rPr>
      <t>за год</t>
    </r>
  </si>
  <si>
    <t>Пост.02.03.2012 №19</t>
  </si>
  <si>
    <t>Пост.23.03.2012 №19</t>
  </si>
  <si>
    <t>пост от 26.12.2014 №69</t>
  </si>
  <si>
    <t>решение Бурмакинской сельской Думы от 26.05.2015 №31/139</t>
  </si>
  <si>
    <t>кассов РАСХОДЫ ВСЕГО</t>
  </si>
  <si>
    <t>Да</t>
  </si>
  <si>
    <t>* - анализ сумм задолженности по налоговым платежам в консолидированный бюджет района на начало и конец отчетного периода проведен исходя из задолженности юридических лиц и задолженности физических лиц без имущественных налогов. (Данные по задолженности физических лиц по имущественным налогам не представлены МРИ ФНС в связи со сменой програмного продукта)</t>
  </si>
  <si>
    <t>Решение Думы 27/215 от 12.12.15</t>
  </si>
  <si>
    <t>Пост 20.03.12 №12</t>
  </si>
  <si>
    <t>Решение Думы №30/134 от 28.04.15</t>
  </si>
  <si>
    <t>решение Думы №30/147 от 13.11.15</t>
  </si>
  <si>
    <t>решение Думы от 22.10.15 №38/173</t>
  </si>
  <si>
    <t>постановление №113 от 24.12.2015</t>
  </si>
  <si>
    <t>решение Думы №01/08 от 07.11.2005 с изм.</t>
  </si>
  <si>
    <t>Пост от 09.01.17 №02,03</t>
  </si>
  <si>
    <t>Решение Думы от 28.11.2013 №14/74</t>
  </si>
  <si>
    <t>Решение Думы №23/111 от 23.10.2015</t>
  </si>
  <si>
    <t>Пост.20.03.12 №12</t>
  </si>
  <si>
    <t>Решение Думы от 24.09.2015 №30/150</t>
  </si>
  <si>
    <t>Постановление от 21.12.2011 №66</t>
  </si>
  <si>
    <t>Постановление администрации от 22.03.2012 №11</t>
  </si>
  <si>
    <t>в тыс.руб.</t>
  </si>
  <si>
    <t>постановление №02 от 14.01.19</t>
  </si>
  <si>
    <t>Решение сельской Думы №0479 от 08.11.2018</t>
  </si>
  <si>
    <t>постановление от 10.01.18 №1</t>
  </si>
  <si>
    <t>постановление от 27.12.18 №59</t>
  </si>
  <si>
    <t>Пост№ 80 от 28.12.18</t>
  </si>
  <si>
    <t>Постановление от 21.12.2017 №23/1</t>
  </si>
  <si>
    <t>Решение Думы 20.12.2017 №6/35</t>
  </si>
  <si>
    <t>Постановление от 09.01.19 №3</t>
  </si>
  <si>
    <t>Реш. Думы 29.09.2014 №15/90</t>
  </si>
  <si>
    <t>постановление №126 от 25.12.18</t>
  </si>
  <si>
    <t>Решение Думы от 20.11.18 №16/71</t>
  </si>
  <si>
    <t>Аi – исполнение бюджета   по расходам, формируемым в рамках муниципальных программ , на конец отчетного периода</t>
  </si>
  <si>
    <t>Р1.12 Динамика задолженности по налоговым платежам</t>
  </si>
  <si>
    <r>
      <t>Аi - сумма задолженности по налоговым платежам  в консолидированный бюджет района i-го поселения на конец отчетного года</t>
    </r>
    <r>
      <rPr>
        <b/>
        <sz val="14"/>
        <rFont val="Times New Roman"/>
        <family val="1"/>
      </rPr>
      <t>*</t>
    </r>
  </si>
  <si>
    <r>
      <t>Бi - сумма задолженности по налоговым платежам  в консолидированный бюджет района i-го поселения на начало отчетного года</t>
    </r>
    <r>
      <rPr>
        <b/>
        <sz val="14"/>
        <rFont val="Times New Roman"/>
        <family val="1"/>
      </rPr>
      <t xml:space="preserve">* </t>
    </r>
    <r>
      <rPr>
        <sz val="11"/>
        <rFont val="Times New Roman"/>
        <family val="1"/>
      </rPr>
      <t xml:space="preserve"> </t>
    </r>
  </si>
  <si>
    <t>Мониторинг оценки  качества организации и осуществления бюджетного процесса по итогам исполнения местных бюджетов за  2022 год</t>
  </si>
  <si>
    <t>количество баллов за 2022 год</t>
  </si>
  <si>
    <t>нет данных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</si>
</sst>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0.00000000"/>
    <numFmt numFmtId="183" formatCode="0.0000000"/>
    <numFmt numFmtId="184" formatCode="0.000000"/>
  </numFmts>
  <fonts count="59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10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sz val="11"/>
      <color theme="0"/>
      <name val="Arial Cyr"/>
      <family val="0"/>
    </font>
    <font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38" fillId="20" borderId="1">
      <alignment horizontal="right" vertical="top" shrinkToFit="1"/>
      <protection/>
    </xf>
    <xf numFmtId="0" fontId="13" fillId="0" borderId="2">
      <alignment/>
      <protection/>
    </xf>
    <xf numFmtId="4" fontId="14" fillId="21" borderId="2">
      <alignment horizontal="right" vertical="top" shrinkToFit="1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3" applyNumberFormat="0" applyAlignment="0" applyProtection="0"/>
    <xf numFmtId="0" fontId="40" fillId="29" borderId="4" applyNumberFormat="0" applyAlignment="0" applyProtection="0"/>
    <xf numFmtId="0" fontId="41" fillId="29" borderId="3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179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179" fontId="1" fillId="0" borderId="14" xfId="0" applyNumberFormat="1" applyFont="1" applyFill="1" applyBorder="1" applyAlignment="1">
      <alignment horizontal="center" vertical="top" wrapText="1"/>
    </xf>
    <xf numFmtId="1" fontId="1" fillId="0" borderId="14" xfId="0" applyNumberFormat="1" applyFont="1" applyFill="1" applyBorder="1" applyAlignment="1">
      <alignment horizontal="center" vertical="top" wrapText="1"/>
    </xf>
    <xf numFmtId="0" fontId="1" fillId="35" borderId="14" xfId="0" applyFont="1" applyFill="1" applyBorder="1" applyAlignment="1">
      <alignment horizontal="center" vertical="top" wrapText="1"/>
    </xf>
    <xf numFmtId="179" fontId="1" fillId="35" borderId="14" xfId="0" applyNumberFormat="1" applyFont="1" applyFill="1" applyBorder="1" applyAlignment="1">
      <alignment horizontal="center" vertical="top" wrapText="1"/>
    </xf>
    <xf numFmtId="179" fontId="1" fillId="0" borderId="15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Fill="1" applyBorder="1" applyAlignment="1">
      <alignment vertical="top" wrapText="1"/>
    </xf>
    <xf numFmtId="179" fontId="4" fillId="36" borderId="16" xfId="0" applyNumberFormat="1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2" fontId="4" fillId="36" borderId="15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horizontal="center" wrapText="1"/>
    </xf>
    <xf numFmtId="14" fontId="3" fillId="0" borderId="15" xfId="0" applyNumberFormat="1" applyFont="1" applyFill="1" applyBorder="1" applyAlignment="1">
      <alignment horizontal="center" vertical="top" wrapText="1"/>
    </xf>
    <xf numFmtId="0" fontId="4" fillId="37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17" fontId="3" fillId="0" borderId="15" xfId="0" applyNumberFormat="1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176" fontId="3" fillId="0" borderId="16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77" fontId="3" fillId="0" borderId="0" xfId="0" applyNumberFormat="1" applyFont="1" applyFill="1" applyBorder="1" applyAlignment="1">
      <alignment wrapText="1"/>
    </xf>
    <xf numFmtId="176" fontId="3" fillId="0" borderId="0" xfId="0" applyNumberFormat="1" applyFont="1" applyFill="1" applyBorder="1" applyAlignment="1">
      <alignment wrapText="1"/>
    </xf>
    <xf numFmtId="177" fontId="11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4" fontId="3" fillId="0" borderId="2" xfId="0" applyNumberFormat="1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0" fontId="10" fillId="0" borderId="15" xfId="0" applyFont="1" applyFill="1" applyBorder="1" applyAlignment="1">
      <alignment shrinkToFit="1"/>
    </xf>
    <xf numFmtId="2" fontId="4" fillId="0" borderId="15" xfId="0" applyNumberFormat="1" applyFont="1" applyFill="1" applyBorder="1" applyAlignment="1">
      <alignment horizontal="center"/>
    </xf>
    <xf numFmtId="179" fontId="1" fillId="0" borderId="18" xfId="0" applyNumberFormat="1" applyFont="1" applyFill="1" applyBorder="1" applyAlignment="1">
      <alignment horizontal="left" vertical="top" wrapText="1"/>
    </xf>
    <xf numFmtId="176" fontId="4" fillId="0" borderId="19" xfId="0" applyNumberFormat="1" applyFont="1" applyFill="1" applyBorder="1" applyAlignment="1">
      <alignment horizontal="center"/>
    </xf>
    <xf numFmtId="176" fontId="4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79" fontId="3" fillId="0" borderId="16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0" fontId="13" fillId="0" borderId="0" xfId="34" applyNumberFormat="1" applyFont="1" applyFill="1" applyBorder="1" applyProtection="1">
      <alignment/>
      <protection/>
    </xf>
    <xf numFmtId="1" fontId="4" fillId="13" borderId="16" xfId="0" applyNumberFormat="1" applyFont="1" applyFill="1" applyBorder="1" applyAlignment="1">
      <alignment horizontal="center"/>
    </xf>
    <xf numFmtId="1" fontId="4" fillId="13" borderId="20" xfId="0" applyNumberFormat="1" applyFont="1" applyFill="1" applyBorder="1" applyAlignment="1">
      <alignment horizontal="center"/>
    </xf>
    <xf numFmtId="0" fontId="4" fillId="13" borderId="15" xfId="0" applyFont="1" applyFill="1" applyBorder="1" applyAlignment="1">
      <alignment horizontal="center"/>
    </xf>
    <xf numFmtId="176" fontId="4" fillId="13" borderId="15" xfId="0" applyNumberFormat="1" applyFont="1" applyFill="1" applyBorder="1" applyAlignment="1">
      <alignment horizontal="center"/>
    </xf>
    <xf numFmtId="176" fontId="7" fillId="13" borderId="15" xfId="0" applyNumberFormat="1" applyFont="1" applyFill="1" applyBorder="1" applyAlignment="1">
      <alignment horizontal="center" wrapText="1"/>
    </xf>
    <xf numFmtId="179" fontId="3" fillId="36" borderId="16" xfId="0" applyNumberFormat="1" applyFont="1" applyFill="1" applyBorder="1" applyAlignment="1">
      <alignment horizontal="center"/>
    </xf>
    <xf numFmtId="176" fontId="56" fillId="0" borderId="1" xfId="33" applyNumberFormat="1" applyFont="1" applyFill="1" applyProtection="1">
      <alignment horizontal="right" vertical="top" shrinkToFit="1"/>
      <protection/>
    </xf>
    <xf numFmtId="177" fontId="3" fillId="0" borderId="15" xfId="0" applyNumberFormat="1" applyFont="1" applyFill="1" applyBorder="1" applyAlignment="1">
      <alignment horizontal="center"/>
    </xf>
    <xf numFmtId="0" fontId="57" fillId="0" borderId="0" xfId="0" applyFont="1" applyBorder="1" applyAlignment="1">
      <alignment/>
    </xf>
    <xf numFmtId="0" fontId="57" fillId="0" borderId="21" xfId="0" applyFont="1" applyFill="1" applyBorder="1" applyAlignment="1">
      <alignment horizontal="center"/>
    </xf>
    <xf numFmtId="177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1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" fontId="14" fillId="0" borderId="2" xfId="35" applyNumberFormat="1" applyFill="1" applyAlignment="1" applyProtection="1">
      <alignment horizontal="center" shrinkToFit="1"/>
      <protection/>
    </xf>
    <xf numFmtId="4" fontId="58" fillId="39" borderId="1" xfId="0" applyNumberFormat="1" applyFont="1" applyFill="1" applyBorder="1" applyAlignment="1">
      <alignment horizontal="center"/>
    </xf>
    <xf numFmtId="0" fontId="1" fillId="4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 applyProtection="1">
      <alignment horizontal="center" vertical="top" wrapText="1"/>
      <protection locked="0"/>
    </xf>
    <xf numFmtId="0" fontId="1" fillId="0" borderId="23" xfId="0" applyFont="1" applyFill="1" applyBorder="1" applyAlignment="1" applyProtection="1">
      <alignment horizontal="center" vertical="top" wrapText="1"/>
      <protection locked="0"/>
    </xf>
    <xf numFmtId="0" fontId="1" fillId="0" borderId="24" xfId="0" applyFont="1" applyFill="1" applyBorder="1" applyAlignment="1" applyProtection="1">
      <alignment horizontal="center" vertical="top" wrapText="1"/>
      <protection locked="0"/>
    </xf>
    <xf numFmtId="0" fontId="1" fillId="35" borderId="1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57" fillId="0" borderId="0" xfId="0" applyFont="1" applyBorder="1" applyAlignment="1">
      <alignment horizontal="center" textRotation="255"/>
    </xf>
    <xf numFmtId="0" fontId="9" fillId="0" borderId="0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vertical="center" textRotation="255" wrapText="1"/>
    </xf>
    <xf numFmtId="0" fontId="3" fillId="0" borderId="28" xfId="0" applyFont="1" applyFill="1" applyBorder="1" applyAlignment="1">
      <alignment vertical="center" textRotation="255" wrapText="1"/>
    </xf>
    <xf numFmtId="177" fontId="3" fillId="0" borderId="17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xl33" xfId="34"/>
    <cellStyle name="xl6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6"/>
  <sheetViews>
    <sheetView tabSelected="1" view="pageBreakPreview" zoomScale="75" zoomScaleNormal="75" zoomScaleSheetLayoutView="75" zoomScalePageLayoutView="0" workbookViewId="0" topLeftCell="A1">
      <pane xSplit="1" ySplit="3" topLeftCell="BJ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Y8" sqref="Y8"/>
    </sheetView>
  </sheetViews>
  <sheetFormatPr defaultColWidth="20.875" defaultRowHeight="12.75"/>
  <cols>
    <col min="1" max="1" width="20.875" style="34" customWidth="1"/>
    <col min="2" max="2" width="15.50390625" style="2" customWidth="1"/>
    <col min="3" max="3" width="13.875" style="2" customWidth="1"/>
    <col min="4" max="4" width="15.50390625" style="2" customWidth="1"/>
    <col min="5" max="6" width="14.50390625" style="2" customWidth="1"/>
    <col min="7" max="7" width="13.125" style="2" customWidth="1"/>
    <col min="8" max="8" width="14.375" style="64" customWidth="1"/>
    <col min="9" max="9" width="11.50390625" style="64" customWidth="1"/>
    <col min="10" max="10" width="13.50390625" style="64" customWidth="1"/>
    <col min="11" max="11" width="16.875" style="64" customWidth="1"/>
    <col min="12" max="12" width="11.875" style="64" customWidth="1"/>
    <col min="13" max="13" width="14.375" style="64" customWidth="1"/>
    <col min="14" max="14" width="10.125" style="64" customWidth="1"/>
    <col min="15" max="15" width="18.50390625" style="64" customWidth="1"/>
    <col min="16" max="16" width="23.00390625" style="64" customWidth="1"/>
    <col min="17" max="17" width="15.625" style="64" customWidth="1"/>
    <col min="18" max="18" width="13.00390625" style="64" customWidth="1"/>
    <col min="19" max="19" width="13.50390625" style="64" customWidth="1"/>
    <col min="20" max="20" width="11.00390625" style="64" customWidth="1"/>
    <col min="21" max="21" width="13.875" style="64" customWidth="1"/>
    <col min="22" max="22" width="14.125" style="64" customWidth="1"/>
    <col min="23" max="23" width="15.50390625" style="64" customWidth="1"/>
    <col min="24" max="24" width="12.00390625" style="64" customWidth="1"/>
    <col min="25" max="25" width="11.375" style="64" customWidth="1"/>
    <col min="26" max="26" width="18.375" style="64" customWidth="1"/>
    <col min="27" max="27" width="15.625" style="64" customWidth="1"/>
    <col min="28" max="28" width="15.375" style="64" customWidth="1"/>
    <col min="29" max="29" width="11.375" style="64" customWidth="1"/>
    <col min="30" max="30" width="21.125" style="64" customWidth="1"/>
    <col min="31" max="31" width="25.625" style="64" customWidth="1"/>
    <col min="32" max="32" width="20.875" style="64" customWidth="1"/>
    <col min="33" max="33" width="27.50390625" style="2" customWidth="1"/>
    <col min="34" max="34" width="14.375" style="2" customWidth="1"/>
    <col min="35" max="35" width="13.875" style="2" customWidth="1"/>
    <col min="36" max="39" width="20.875" style="2" customWidth="1"/>
    <col min="40" max="40" width="16.125" style="2" customWidth="1"/>
    <col min="41" max="41" width="14.625" style="2" customWidth="1"/>
    <col min="42" max="42" width="16.625" style="2" customWidth="1"/>
    <col min="43" max="43" width="15.00390625" style="2" customWidth="1"/>
    <col min="44" max="51" width="20.875" style="2" customWidth="1"/>
    <col min="52" max="56" width="20.875" style="64" customWidth="1"/>
    <col min="57" max="61" width="20.875" style="2" customWidth="1"/>
    <col min="62" max="62" width="25.00390625" style="2" customWidth="1"/>
    <col min="63" max="63" width="15.625" style="2" customWidth="1"/>
    <col min="64" max="64" width="14.50390625" style="2" customWidth="1"/>
    <col min="65" max="65" width="20.875" style="2" customWidth="1"/>
    <col min="66" max="66" width="11.625" style="2" customWidth="1"/>
    <col min="67" max="67" width="20.875" style="2" customWidth="1"/>
    <col min="68" max="68" width="12.00390625" style="2" customWidth="1"/>
    <col min="69" max="70" width="20.875" style="2" customWidth="1"/>
    <col min="71" max="71" width="11.50390625" style="64" customWidth="1"/>
    <col min="72" max="72" width="20.875" style="80" customWidth="1"/>
    <col min="73" max="16384" width="20.875" style="2" customWidth="1"/>
  </cols>
  <sheetData>
    <row r="1" spans="2:78" ht="33" customHeight="1" thickBot="1">
      <c r="B1" s="97" t="s">
        <v>118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" t="s">
        <v>102</v>
      </c>
      <c r="P1" s="3"/>
      <c r="Q1" s="4"/>
      <c r="R1" s="5"/>
      <c r="S1" s="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5"/>
      <c r="AF1" s="3"/>
      <c r="AG1" s="3"/>
      <c r="AH1" s="7"/>
      <c r="AI1" s="3"/>
      <c r="AJ1" s="3"/>
      <c r="AK1" s="3"/>
      <c r="AL1" s="7"/>
      <c r="AM1" s="5"/>
      <c r="AN1" s="5"/>
      <c r="AO1" s="5"/>
      <c r="AP1" s="3"/>
      <c r="AQ1" s="3"/>
      <c r="AR1" s="3"/>
      <c r="AS1" s="3"/>
      <c r="AT1" s="3"/>
      <c r="AU1" s="5"/>
      <c r="AV1" s="5"/>
      <c r="AW1" s="5"/>
      <c r="AX1" s="6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T1" s="76"/>
      <c r="BU1" s="33"/>
      <c r="BV1" s="33"/>
      <c r="BW1" s="33"/>
      <c r="BX1" s="33"/>
      <c r="BY1" s="33"/>
      <c r="BZ1" s="33"/>
    </row>
    <row r="2" spans="1:78" ht="69" customHeight="1" thickTop="1">
      <c r="A2" s="100" t="s">
        <v>0</v>
      </c>
      <c r="B2" s="86" t="s">
        <v>70</v>
      </c>
      <c r="C2" s="86"/>
      <c r="D2" s="86"/>
      <c r="E2" s="86"/>
      <c r="F2" s="86"/>
      <c r="G2" s="86"/>
      <c r="H2" s="86"/>
      <c r="I2" s="86"/>
      <c r="J2" s="91" t="s">
        <v>71</v>
      </c>
      <c r="K2" s="92"/>
      <c r="L2" s="92"/>
      <c r="M2" s="92"/>
      <c r="N2" s="93"/>
      <c r="O2" s="91" t="s">
        <v>72</v>
      </c>
      <c r="P2" s="92"/>
      <c r="Q2" s="92"/>
      <c r="R2" s="93"/>
      <c r="S2" s="86" t="s">
        <v>73</v>
      </c>
      <c r="T2" s="86"/>
      <c r="U2" s="86"/>
      <c r="V2" s="86" t="s">
        <v>74</v>
      </c>
      <c r="W2" s="86"/>
      <c r="X2" s="86"/>
      <c r="Y2" s="86"/>
      <c r="Z2" s="86" t="s">
        <v>75</v>
      </c>
      <c r="AA2" s="86"/>
      <c r="AB2" s="86"/>
      <c r="AC2" s="86"/>
      <c r="AD2" s="86" t="s">
        <v>63</v>
      </c>
      <c r="AE2" s="86"/>
      <c r="AF2" s="86"/>
      <c r="AG2" s="86"/>
      <c r="AH2" s="86"/>
      <c r="AI2" s="86"/>
      <c r="AJ2" s="90" t="s">
        <v>76</v>
      </c>
      <c r="AK2" s="90"/>
      <c r="AL2" s="90"/>
      <c r="AM2" s="90"/>
      <c r="AN2" s="90"/>
      <c r="AO2" s="90"/>
      <c r="AP2" s="86" t="s">
        <v>77</v>
      </c>
      <c r="AQ2" s="86"/>
      <c r="AR2" s="91" t="s">
        <v>78</v>
      </c>
      <c r="AS2" s="92"/>
      <c r="AT2" s="92"/>
      <c r="AU2" s="92"/>
      <c r="AV2" s="92"/>
      <c r="AW2" s="93"/>
      <c r="AX2" s="91" t="s">
        <v>79</v>
      </c>
      <c r="AY2" s="93"/>
      <c r="AZ2" s="87" t="s">
        <v>115</v>
      </c>
      <c r="BA2" s="88"/>
      <c r="BB2" s="88"/>
      <c r="BC2" s="89"/>
      <c r="BD2" s="96" t="s">
        <v>80</v>
      </c>
      <c r="BE2" s="92"/>
      <c r="BF2" s="91" t="s">
        <v>60</v>
      </c>
      <c r="BG2" s="92"/>
      <c r="BH2" s="92"/>
      <c r="BI2" s="92"/>
      <c r="BJ2" s="92"/>
      <c r="BK2" s="92"/>
      <c r="BL2" s="93"/>
      <c r="BM2" s="91" t="s">
        <v>64</v>
      </c>
      <c r="BN2" s="93"/>
      <c r="BO2" s="91" t="s">
        <v>65</v>
      </c>
      <c r="BP2" s="93"/>
      <c r="BQ2" s="91" t="s">
        <v>66</v>
      </c>
      <c r="BR2" s="93"/>
      <c r="BS2" s="101" t="s">
        <v>119</v>
      </c>
      <c r="BT2" s="94" t="s">
        <v>85</v>
      </c>
      <c r="BU2" s="33"/>
      <c r="BV2" s="33"/>
      <c r="BW2" s="33"/>
      <c r="BX2" s="33"/>
      <c r="BY2" s="33"/>
      <c r="BZ2" s="33"/>
    </row>
    <row r="3" spans="1:78" ht="185.25" customHeight="1">
      <c r="A3" s="100"/>
      <c r="B3" s="9" t="s">
        <v>20</v>
      </c>
      <c r="C3" s="9" t="s">
        <v>21</v>
      </c>
      <c r="D3" s="9" t="s">
        <v>22</v>
      </c>
      <c r="E3" s="10" t="s">
        <v>23</v>
      </c>
      <c r="F3" s="10" t="s">
        <v>41</v>
      </c>
      <c r="G3" s="11" t="s">
        <v>1</v>
      </c>
      <c r="H3" s="10" t="s">
        <v>25</v>
      </c>
      <c r="I3" s="9" t="s">
        <v>24</v>
      </c>
      <c r="J3" s="12" t="s">
        <v>29</v>
      </c>
      <c r="K3" s="12" t="s">
        <v>30</v>
      </c>
      <c r="L3" s="11" t="s">
        <v>1</v>
      </c>
      <c r="M3" s="9" t="s">
        <v>25</v>
      </c>
      <c r="N3" s="13" t="s">
        <v>28</v>
      </c>
      <c r="O3" s="12" t="s">
        <v>114</v>
      </c>
      <c r="P3" s="12" t="s">
        <v>42</v>
      </c>
      <c r="Q3" s="13" t="s">
        <v>1</v>
      </c>
      <c r="R3" s="13" t="s">
        <v>33</v>
      </c>
      <c r="S3" s="14" t="s">
        <v>32</v>
      </c>
      <c r="T3" s="9" t="s">
        <v>25</v>
      </c>
      <c r="U3" s="13" t="s">
        <v>28</v>
      </c>
      <c r="V3" s="12" t="s">
        <v>36</v>
      </c>
      <c r="W3" s="12" t="s">
        <v>37</v>
      </c>
      <c r="X3" s="13" t="s">
        <v>1</v>
      </c>
      <c r="Y3" s="12" t="s">
        <v>34</v>
      </c>
      <c r="Z3" s="9" t="s">
        <v>38</v>
      </c>
      <c r="AA3" s="9" t="s">
        <v>35</v>
      </c>
      <c r="AB3" s="13" t="s">
        <v>1</v>
      </c>
      <c r="AC3" s="12" t="s">
        <v>2</v>
      </c>
      <c r="AD3" s="12" t="s">
        <v>43</v>
      </c>
      <c r="AE3" s="12" t="s">
        <v>44</v>
      </c>
      <c r="AF3" s="12" t="s">
        <v>39</v>
      </c>
      <c r="AG3" s="12" t="s">
        <v>40</v>
      </c>
      <c r="AH3" s="13" t="s">
        <v>1</v>
      </c>
      <c r="AI3" s="12" t="s">
        <v>2</v>
      </c>
      <c r="AJ3" s="15" t="s">
        <v>3</v>
      </c>
      <c r="AK3" s="15" t="s">
        <v>4</v>
      </c>
      <c r="AL3" s="16" t="s">
        <v>5</v>
      </c>
      <c r="AM3" s="15" t="s">
        <v>6</v>
      </c>
      <c r="AN3" s="15" t="s">
        <v>1</v>
      </c>
      <c r="AO3" s="15" t="s">
        <v>2</v>
      </c>
      <c r="AP3" s="12" t="s">
        <v>7</v>
      </c>
      <c r="AQ3" s="12" t="s">
        <v>2</v>
      </c>
      <c r="AR3" s="85" t="s">
        <v>8</v>
      </c>
      <c r="AS3" s="12" t="s">
        <v>9</v>
      </c>
      <c r="AT3" s="12" t="s">
        <v>10</v>
      </c>
      <c r="AU3" s="12" t="s">
        <v>11</v>
      </c>
      <c r="AV3" s="12" t="s">
        <v>1</v>
      </c>
      <c r="AW3" s="12" t="s">
        <v>2</v>
      </c>
      <c r="AX3" s="14" t="s">
        <v>45</v>
      </c>
      <c r="AY3" s="12" t="s">
        <v>46</v>
      </c>
      <c r="AZ3" s="61" t="s">
        <v>116</v>
      </c>
      <c r="BA3" s="61" t="s">
        <v>117</v>
      </c>
      <c r="BB3" s="17" t="s">
        <v>1</v>
      </c>
      <c r="BC3" s="18" t="s">
        <v>2</v>
      </c>
      <c r="BD3" s="12" t="s">
        <v>68</v>
      </c>
      <c r="BE3" s="12" t="s">
        <v>67</v>
      </c>
      <c r="BF3" s="19" t="s">
        <v>12</v>
      </c>
      <c r="BG3" s="19" t="s">
        <v>13</v>
      </c>
      <c r="BH3" s="19" t="s">
        <v>14</v>
      </c>
      <c r="BI3" s="19" t="s">
        <v>15</v>
      </c>
      <c r="BJ3" s="19" t="s">
        <v>16</v>
      </c>
      <c r="BK3" s="12" t="s">
        <v>1</v>
      </c>
      <c r="BL3" s="12" t="s">
        <v>47</v>
      </c>
      <c r="BM3" s="19" t="s">
        <v>17</v>
      </c>
      <c r="BN3" s="12" t="s">
        <v>2</v>
      </c>
      <c r="BO3" s="19" t="s">
        <v>18</v>
      </c>
      <c r="BP3" s="12" t="s">
        <v>2</v>
      </c>
      <c r="BQ3" s="19" t="s">
        <v>19</v>
      </c>
      <c r="BR3" s="12" t="s">
        <v>2</v>
      </c>
      <c r="BS3" s="102"/>
      <c r="BT3" s="94"/>
      <c r="BU3" s="33"/>
      <c r="BV3" s="33"/>
      <c r="BW3" s="33"/>
      <c r="BX3" s="33"/>
      <c r="BY3" s="33"/>
      <c r="BZ3" s="33"/>
    </row>
    <row r="4" spans="1:78" ht="40.5" customHeight="1">
      <c r="A4" s="59" t="s">
        <v>48</v>
      </c>
      <c r="B4" s="24">
        <f>C4-AS4</f>
        <v>1939.0118399999992</v>
      </c>
      <c r="C4" s="24">
        <v>10772.71184</v>
      </c>
      <c r="D4" s="24">
        <v>4228.225</v>
      </c>
      <c r="E4" s="45">
        <v>0</v>
      </c>
      <c r="F4" s="45">
        <v>1500</v>
      </c>
      <c r="G4" s="20">
        <f>(B4-F4)/(C4-D4-E4)</f>
        <v>0.06708117087450652</v>
      </c>
      <c r="H4" s="25" t="s">
        <v>26</v>
      </c>
      <c r="I4" s="68">
        <f>IF(G4&lt;=0.05,1,0)</f>
        <v>0</v>
      </c>
      <c r="J4" s="84">
        <v>2862.11</v>
      </c>
      <c r="K4" s="84">
        <v>0</v>
      </c>
      <c r="L4" s="65">
        <v>0</v>
      </c>
      <c r="M4" s="25" t="s">
        <v>27</v>
      </c>
      <c r="N4" s="70">
        <f>IF(L4&lt;=1,1,0)</f>
        <v>1</v>
      </c>
      <c r="O4" s="83">
        <f>8820.339-1582.798</f>
        <v>7237.541</v>
      </c>
      <c r="P4" s="83">
        <f>8833.708-1582.798</f>
        <v>7250.910000000001</v>
      </c>
      <c r="Q4" s="66">
        <f>O4/P4</f>
        <v>0.9981562314247452</v>
      </c>
      <c r="R4" s="70">
        <f aca="true" t="shared" si="0" ref="R4:R16">IF(Q4&gt;=0.6,5,IF(Q4&lt;0.3,-1,2))</f>
        <v>5</v>
      </c>
      <c r="S4" s="22">
        <v>5</v>
      </c>
      <c r="T4" s="25" t="s">
        <v>31</v>
      </c>
      <c r="U4" s="70">
        <f aca="true" t="shared" si="1" ref="U4:U16">IF(S4&lt;=5,1,0)</f>
        <v>1</v>
      </c>
      <c r="V4" s="24">
        <v>5962.4</v>
      </c>
      <c r="W4" s="24">
        <v>8132.6</v>
      </c>
      <c r="X4" s="24">
        <f aca="true" t="shared" si="2" ref="X4:X16">V4/W4</f>
        <v>0.7331480707276885</v>
      </c>
      <c r="Y4" s="71">
        <f aca="true" t="shared" si="3" ref="Y4:Y16">IF(AND(X4&gt;=0.95,X4&lt;=1.05),1,IF(OR(AND(X4&gt;=0.85,X4&lt;0.95),AND(X4&gt;1.05,X4&lt;=1.15)),0.5,0))</f>
        <v>0</v>
      </c>
      <c r="Z4" s="45">
        <v>6544.5</v>
      </c>
      <c r="AA4" s="24">
        <f>V4:V16</f>
        <v>5962.4</v>
      </c>
      <c r="AB4" s="24">
        <f aca="true" t="shared" si="4" ref="AB4:AB16">Z4/AA4</f>
        <v>1.0976284717563398</v>
      </c>
      <c r="AC4" s="71">
        <f aca="true" t="shared" si="5" ref="AC4:AC16">IF(AND(AB4&gt;=0.98,AB4&lt;=1.02),1,0)</f>
        <v>0</v>
      </c>
      <c r="AD4" s="24">
        <f>V4</f>
        <v>5962.4</v>
      </c>
      <c r="AE4" s="81">
        <v>1101</v>
      </c>
      <c r="AF4" s="24">
        <v>5868</v>
      </c>
      <c r="AG4" s="82">
        <v>914.2</v>
      </c>
      <c r="AH4" s="73">
        <f>(AD4/AE4)/(AF4/AG4)</f>
        <v>0.8436938842856497</v>
      </c>
      <c r="AI4" s="23">
        <f aca="true" t="shared" si="6" ref="AI4:AI16">IF(AH4&gt;=1,1,0)</f>
        <v>0</v>
      </c>
      <c r="AJ4" s="74">
        <f>6559.1-AK4-AL4-AM4</f>
        <v>2844.4000000000005</v>
      </c>
      <c r="AK4" s="74">
        <v>1241.3</v>
      </c>
      <c r="AL4" s="74">
        <f>2390.3-AK4</f>
        <v>1149.0000000000002</v>
      </c>
      <c r="AM4" s="74">
        <f>3714.7-AK4-AL4</f>
        <v>1324.3999999999994</v>
      </c>
      <c r="AN4" s="26">
        <f>AJ4/(AK4+AL4+AM4)*3</f>
        <v>2.2971437801168335</v>
      </c>
      <c r="AO4" s="23">
        <f>IF(AND(AN4&gt;=0.7,AN4&lt;=1.3),1,IF(OR(AND(AN4&gt;=0.5,AN4&lt;0.7),AND(AN4&gt;1.35,AN4&lt;=1.5)),0.5,0))</f>
        <v>0</v>
      </c>
      <c r="AP4" s="22">
        <v>0</v>
      </c>
      <c r="AQ4" s="23">
        <f aca="true" t="shared" si="7" ref="AQ4:AQ16">IF(AP4&gt;0,-1,0)</f>
        <v>0</v>
      </c>
      <c r="AR4" s="58">
        <v>0.7</v>
      </c>
      <c r="AS4" s="75">
        <v>8833.7</v>
      </c>
      <c r="AT4" s="58">
        <v>0.9</v>
      </c>
      <c r="AU4" s="75">
        <v>10504.0497</v>
      </c>
      <c r="AV4" s="60">
        <f>(AR4/AS4)/(AT4/AU4)</f>
        <v>0.9248464893910062</v>
      </c>
      <c r="AW4" s="70">
        <f>IF(AV4&lt;=1,1,0)</f>
        <v>1</v>
      </c>
      <c r="AX4" s="27"/>
      <c r="AY4" s="23">
        <f aca="true" t="shared" si="8" ref="AY4:AY16">IF(ISBLANK(AX4),0,-1)</f>
        <v>0</v>
      </c>
      <c r="AZ4" s="45" t="s">
        <v>120</v>
      </c>
      <c r="BA4" s="45" t="s">
        <v>120</v>
      </c>
      <c r="BB4" s="62" t="e">
        <f>AZ4/BA4</f>
        <v>#VALUE!</v>
      </c>
      <c r="BC4" s="72" t="e">
        <f>IF(BB4&lt;1,1,(IF(BB4=1,0,(IF(BB4&gt;1.5,-2,-1)))))</f>
        <v>#VALUE!</v>
      </c>
      <c r="BD4" s="25" t="s">
        <v>86</v>
      </c>
      <c r="BE4" s="23">
        <f>IF(BD4="Да",1,0)</f>
        <v>1</v>
      </c>
      <c r="BF4" s="22">
        <v>1</v>
      </c>
      <c r="BG4" s="22">
        <v>1</v>
      </c>
      <c r="BH4" s="22">
        <v>1</v>
      </c>
      <c r="BI4" s="22">
        <v>1</v>
      </c>
      <c r="BJ4" s="22">
        <v>1</v>
      </c>
      <c r="BK4" s="21">
        <f aca="true" t="shared" si="9" ref="BK4:BK15">BF4+BG4+BH4+BI4+BJ4</f>
        <v>5</v>
      </c>
      <c r="BL4" s="23">
        <f aca="true" t="shared" si="10" ref="BL4:BL16">IF(BK4&gt;=5,1,0)</f>
        <v>1</v>
      </c>
      <c r="BM4" s="39" t="s">
        <v>101</v>
      </c>
      <c r="BN4" s="40">
        <f aca="true" t="shared" si="11" ref="BN4:BN16">IF(ISBLANK(BM4),0,0.5)</f>
        <v>0.5</v>
      </c>
      <c r="BO4" s="39" t="s">
        <v>101</v>
      </c>
      <c r="BP4" s="40">
        <f aca="true" t="shared" si="12" ref="BP4:BP16">IF(ISBLANK(BO4),0,0.5)</f>
        <v>0.5</v>
      </c>
      <c r="BQ4" s="44" t="s">
        <v>84</v>
      </c>
      <c r="BR4" s="40">
        <f>IF(ISBLANK(BQ4),0,0.5)</f>
        <v>0.5</v>
      </c>
      <c r="BS4" s="103">
        <f>I4+N4+R4+U4+Y4+AI4+AO4+AQ4+AY4+BE4+BL4+BN4+BP4+BR4+AW4</f>
        <v>11.5</v>
      </c>
      <c r="BT4" s="77">
        <v>10504.049</v>
      </c>
      <c r="BU4" s="33"/>
      <c r="BV4" s="33"/>
      <c r="BW4" s="33"/>
      <c r="BX4" s="33"/>
      <c r="BY4" s="33"/>
      <c r="BZ4" s="33"/>
    </row>
    <row r="5" spans="1:78" ht="27">
      <c r="A5" s="35" t="s">
        <v>49</v>
      </c>
      <c r="B5" s="24">
        <f aca="true" t="shared" si="13" ref="B5:B16">C5-AS5</f>
        <v>1242.1443200000003</v>
      </c>
      <c r="C5" s="24">
        <v>6421.04432</v>
      </c>
      <c r="D5" s="24">
        <v>3413.25</v>
      </c>
      <c r="E5" s="45">
        <v>0</v>
      </c>
      <c r="F5" s="45">
        <v>0</v>
      </c>
      <c r="G5" s="20">
        <f aca="true" t="shared" si="14" ref="G5:G16">(B5-F5)/(C5-D5-E5)</f>
        <v>0.41297515316805317</v>
      </c>
      <c r="H5" s="25" t="s">
        <v>26</v>
      </c>
      <c r="I5" s="68">
        <f>IF(G5&lt;=0.05,1,0)</f>
        <v>0</v>
      </c>
      <c r="J5" s="84">
        <v>1802.3</v>
      </c>
      <c r="K5" s="84">
        <v>2353</v>
      </c>
      <c r="L5" s="65">
        <f>J5/K5</f>
        <v>0.7659583510412239</v>
      </c>
      <c r="M5" s="25" t="s">
        <v>27</v>
      </c>
      <c r="N5" s="70">
        <f aca="true" t="shared" si="15" ref="N5:N16">IF(L5&lt;=1,1,0)</f>
        <v>1</v>
      </c>
      <c r="O5" s="83">
        <f>5093.693-69.6</f>
        <v>5024.093</v>
      </c>
      <c r="P5" s="83">
        <f>5178.954-69.6</f>
        <v>5109.353999999999</v>
      </c>
      <c r="Q5" s="66">
        <f aca="true" t="shared" si="16" ref="Q5:Q16">O5/P5</f>
        <v>0.9833127632182074</v>
      </c>
      <c r="R5" s="70">
        <f t="shared" si="0"/>
        <v>5</v>
      </c>
      <c r="S5" s="22">
        <v>5</v>
      </c>
      <c r="T5" s="25" t="s">
        <v>31</v>
      </c>
      <c r="U5" s="70">
        <f t="shared" si="1"/>
        <v>1</v>
      </c>
      <c r="V5" s="24">
        <v>3190.2</v>
      </c>
      <c r="W5" s="24">
        <v>1900.3</v>
      </c>
      <c r="X5" s="24">
        <f t="shared" si="2"/>
        <v>1.6787875598589697</v>
      </c>
      <c r="Y5" s="71">
        <f t="shared" si="3"/>
        <v>0</v>
      </c>
      <c r="Z5" s="45">
        <v>3007.8</v>
      </c>
      <c r="AA5" s="24">
        <f aca="true" t="shared" si="17" ref="AA5:AA16">V5:V17</f>
        <v>3190.2</v>
      </c>
      <c r="AB5" s="24">
        <f t="shared" si="4"/>
        <v>0.9428249012601092</v>
      </c>
      <c r="AC5" s="71">
        <f t="shared" si="5"/>
        <v>0</v>
      </c>
      <c r="AD5" s="24">
        <f aca="true" t="shared" si="18" ref="AD5:AD16">V5</f>
        <v>3190.2</v>
      </c>
      <c r="AE5" s="81">
        <v>607.3</v>
      </c>
      <c r="AF5" s="24">
        <v>1955.5</v>
      </c>
      <c r="AG5" s="82">
        <v>492.9</v>
      </c>
      <c r="AH5" s="73">
        <f aca="true" t="shared" si="19" ref="AH5:AH16">(AD5/AE5)/(AF5/AG5)</f>
        <v>1.324084273740487</v>
      </c>
      <c r="AI5" s="23">
        <f t="shared" si="6"/>
        <v>1</v>
      </c>
      <c r="AJ5" s="74">
        <f>4757.3-AK5-AL5-AM5</f>
        <v>1393.4</v>
      </c>
      <c r="AK5" s="74">
        <v>1245.6</v>
      </c>
      <c r="AL5" s="74">
        <f>2681.3-AK5</f>
        <v>1435.7000000000003</v>
      </c>
      <c r="AM5" s="74">
        <f>3363.9-AK5-AL5</f>
        <v>682.5999999999999</v>
      </c>
      <c r="AN5" s="26">
        <f aca="true" t="shared" si="20" ref="AN5:AN16">AJ5/(AK5+AL5+AM5)*3</f>
        <v>1.242664764113083</v>
      </c>
      <c r="AO5" s="23">
        <f aca="true" t="shared" si="21" ref="AO5:AO16">IF(AND(AN5&gt;=0.7,AN5&lt;=1.3),1,IF(OR(AND(AN5&gt;=0.5,AN5&lt;0.7),AND(AN5&gt;1.35,AN5&lt;=1.5)),0.5,0))</f>
        <v>1</v>
      </c>
      <c r="AP5" s="22">
        <v>0</v>
      </c>
      <c r="AQ5" s="23">
        <f t="shared" si="7"/>
        <v>0</v>
      </c>
      <c r="AR5" s="58">
        <v>227.6</v>
      </c>
      <c r="AS5" s="75">
        <v>5178.9</v>
      </c>
      <c r="AT5" s="58">
        <v>1088.8</v>
      </c>
      <c r="AU5" s="75">
        <v>7989.8023</v>
      </c>
      <c r="AV5" s="60">
        <f>(AR5/AS5)/(AT5/AU5)</f>
        <v>0.3224947533532358</v>
      </c>
      <c r="AW5" s="70">
        <f aca="true" t="shared" si="22" ref="AW5:AW13">IF(AV5&lt;=1,1,0)</f>
        <v>1</v>
      </c>
      <c r="AX5" s="27"/>
      <c r="AY5" s="23">
        <f t="shared" si="8"/>
        <v>0</v>
      </c>
      <c r="AZ5" s="45" t="s">
        <v>120</v>
      </c>
      <c r="BA5" s="45" t="s">
        <v>120</v>
      </c>
      <c r="BB5" s="62" t="e">
        <f aca="true" t="shared" si="23" ref="BB5:BB16">AZ5/BA5</f>
        <v>#VALUE!</v>
      </c>
      <c r="BC5" s="72" t="e">
        <f aca="true" t="shared" si="24" ref="BC5:BC16">IF(BB5&lt;1,1,(IF(BB5=1,0,(IF(BB5&gt;1.5,-2,-1)))))</f>
        <v>#VALUE!</v>
      </c>
      <c r="BD5" s="25" t="s">
        <v>86</v>
      </c>
      <c r="BE5" s="23">
        <f aca="true" t="shared" si="25" ref="BE5:BE16">IF(BD5="Да",1,0)</f>
        <v>1</v>
      </c>
      <c r="BF5" s="22">
        <v>1</v>
      </c>
      <c r="BG5" s="22">
        <v>1</v>
      </c>
      <c r="BH5" s="22">
        <v>1</v>
      </c>
      <c r="BI5" s="22">
        <v>1</v>
      </c>
      <c r="BJ5" s="22">
        <v>1</v>
      </c>
      <c r="BK5" s="21">
        <f t="shared" si="9"/>
        <v>5</v>
      </c>
      <c r="BL5" s="23">
        <f t="shared" si="10"/>
        <v>1</v>
      </c>
      <c r="BM5" s="42" t="s">
        <v>83</v>
      </c>
      <c r="BN5" s="40">
        <f t="shared" si="11"/>
        <v>0.5</v>
      </c>
      <c r="BO5" s="41" t="s">
        <v>62</v>
      </c>
      <c r="BP5" s="40">
        <f t="shared" si="12"/>
        <v>0.5</v>
      </c>
      <c r="BQ5" s="41" t="s">
        <v>91</v>
      </c>
      <c r="BR5" s="40">
        <f>IF(ISBLANK(BQ5),0,0.5)</f>
        <v>0.5</v>
      </c>
      <c r="BS5" s="104">
        <f aca="true" t="shared" si="26" ref="BS5:BS16">I5+N5+R5+U5+Y5+AI5+AO5+AQ5+AY5+BE5+BL5+BN5+BP5+BR5+AW5</f>
        <v>13.5</v>
      </c>
      <c r="BT5" s="77">
        <v>7989.8023</v>
      </c>
      <c r="BU5" s="33"/>
      <c r="BV5" s="33"/>
      <c r="BW5" s="33"/>
      <c r="BX5" s="33"/>
      <c r="BY5" s="33"/>
      <c r="BZ5" s="33"/>
    </row>
    <row r="6" spans="1:78" ht="41.25">
      <c r="A6" s="35" t="s">
        <v>50</v>
      </c>
      <c r="B6" s="24">
        <f t="shared" si="13"/>
        <v>708.4071100000001</v>
      </c>
      <c r="C6" s="24">
        <v>15561.30711</v>
      </c>
      <c r="D6" s="24">
        <v>6486.68691</v>
      </c>
      <c r="E6" s="45">
        <v>0</v>
      </c>
      <c r="F6" s="45">
        <v>0</v>
      </c>
      <c r="G6" s="20">
        <f>(B6-F6)/(C6-D6-E6)</f>
        <v>0.07806465663433497</v>
      </c>
      <c r="H6" s="25" t="s">
        <v>26</v>
      </c>
      <c r="I6" s="68">
        <f>IF(G6&lt;=0.05,1,0)</f>
        <v>0</v>
      </c>
      <c r="J6" s="84">
        <v>2571.35</v>
      </c>
      <c r="K6" s="84">
        <v>2749</v>
      </c>
      <c r="L6" s="65">
        <v>0</v>
      </c>
      <c r="M6" s="25" t="s">
        <v>27</v>
      </c>
      <c r="N6" s="70">
        <f t="shared" si="15"/>
        <v>1</v>
      </c>
      <c r="O6" s="83">
        <f>14852.9-4119.45</f>
        <v>10733.45</v>
      </c>
      <c r="P6" s="83">
        <f>14852.9-4119.451</f>
        <v>10733.449</v>
      </c>
      <c r="Q6" s="66">
        <f t="shared" si="16"/>
        <v>1.000000093166698</v>
      </c>
      <c r="R6" s="70">
        <f t="shared" si="0"/>
        <v>5</v>
      </c>
      <c r="S6" s="22">
        <v>8</v>
      </c>
      <c r="T6" s="25" t="s">
        <v>31</v>
      </c>
      <c r="U6" s="70">
        <f t="shared" si="1"/>
        <v>0</v>
      </c>
      <c r="V6" s="24">
        <v>7775.5</v>
      </c>
      <c r="W6" s="24">
        <v>8005.5</v>
      </c>
      <c r="X6" s="24">
        <f t="shared" si="2"/>
        <v>0.9712697520454687</v>
      </c>
      <c r="Y6" s="71">
        <f t="shared" si="3"/>
        <v>1</v>
      </c>
      <c r="Z6" s="45">
        <v>9074.6</v>
      </c>
      <c r="AA6" s="24">
        <f t="shared" si="17"/>
        <v>7775.5</v>
      </c>
      <c r="AB6" s="24">
        <f t="shared" si="4"/>
        <v>1.1670760722783102</v>
      </c>
      <c r="AC6" s="71">
        <f t="shared" si="5"/>
        <v>0</v>
      </c>
      <c r="AD6" s="24">
        <f t="shared" si="18"/>
        <v>7775.5</v>
      </c>
      <c r="AE6" s="81">
        <v>1564.6</v>
      </c>
      <c r="AF6" s="24">
        <v>8134.2</v>
      </c>
      <c r="AG6" s="82">
        <v>1295.1</v>
      </c>
      <c r="AH6" s="73">
        <f t="shared" si="19"/>
        <v>0.7912495148454534</v>
      </c>
      <c r="AI6" s="23">
        <f t="shared" si="6"/>
        <v>0</v>
      </c>
      <c r="AJ6" s="74">
        <f>9678.1-AK6-AL6-AM6</f>
        <v>3966.300000000001</v>
      </c>
      <c r="AK6" s="74">
        <v>1364.9</v>
      </c>
      <c r="AL6" s="74">
        <f>3775.9-AK6</f>
        <v>2411</v>
      </c>
      <c r="AM6" s="74">
        <f>5711.8-AK6-AL6</f>
        <v>1935.8999999999996</v>
      </c>
      <c r="AN6" s="26">
        <f t="shared" si="20"/>
        <v>2.083213697958613</v>
      </c>
      <c r="AO6" s="23">
        <f t="shared" si="21"/>
        <v>0</v>
      </c>
      <c r="AP6" s="22">
        <v>0</v>
      </c>
      <c r="AQ6" s="23">
        <f t="shared" si="7"/>
        <v>0</v>
      </c>
      <c r="AR6" s="58">
        <v>3.7</v>
      </c>
      <c r="AS6" s="75">
        <v>14852.9</v>
      </c>
      <c r="AT6" s="58">
        <v>1.2</v>
      </c>
      <c r="AU6" s="75">
        <v>9838.4364</v>
      </c>
      <c r="AV6" s="60">
        <f aca="true" t="shared" si="27" ref="AV6:AV13">(AR6/AS6)/(AT6/AU6)</f>
        <v>2.0423741424233652</v>
      </c>
      <c r="AW6" s="70">
        <f t="shared" si="22"/>
        <v>0</v>
      </c>
      <c r="AX6" s="27"/>
      <c r="AY6" s="23">
        <f t="shared" si="8"/>
        <v>0</v>
      </c>
      <c r="AZ6" s="45" t="s">
        <v>120</v>
      </c>
      <c r="BA6" s="45" t="s">
        <v>120</v>
      </c>
      <c r="BB6" s="62" t="e">
        <f t="shared" si="23"/>
        <v>#VALUE!</v>
      </c>
      <c r="BC6" s="72" t="e">
        <f t="shared" si="24"/>
        <v>#VALUE!</v>
      </c>
      <c r="BD6" s="25" t="s">
        <v>86</v>
      </c>
      <c r="BE6" s="23">
        <f t="shared" si="25"/>
        <v>1</v>
      </c>
      <c r="BF6" s="22">
        <v>1</v>
      </c>
      <c r="BG6" s="22">
        <v>1</v>
      </c>
      <c r="BH6" s="22">
        <v>1</v>
      </c>
      <c r="BI6" s="22">
        <v>1</v>
      </c>
      <c r="BJ6" s="22">
        <v>1</v>
      </c>
      <c r="BK6" s="21">
        <f t="shared" si="9"/>
        <v>5</v>
      </c>
      <c r="BL6" s="23">
        <f t="shared" si="10"/>
        <v>1</v>
      </c>
      <c r="BM6" s="41" t="s">
        <v>93</v>
      </c>
      <c r="BN6" s="40">
        <f t="shared" si="11"/>
        <v>0.5</v>
      </c>
      <c r="BO6" s="43"/>
      <c r="BP6" s="40">
        <f t="shared" si="12"/>
        <v>0</v>
      </c>
      <c r="BQ6" s="41" t="s">
        <v>94</v>
      </c>
      <c r="BR6" s="40">
        <f>IF(ISBLANK(BQ6),0,0.5)</f>
        <v>0.5</v>
      </c>
      <c r="BS6" s="103">
        <f t="shared" si="26"/>
        <v>10</v>
      </c>
      <c r="BT6" s="77">
        <v>9838.4364</v>
      </c>
      <c r="BU6" s="33"/>
      <c r="BV6" s="33"/>
      <c r="BW6" s="33"/>
      <c r="BX6" s="33"/>
      <c r="BY6" s="33"/>
      <c r="BZ6" s="33"/>
    </row>
    <row r="7" spans="1:78" ht="27">
      <c r="A7" s="35" t="s">
        <v>51</v>
      </c>
      <c r="B7" s="24">
        <f t="shared" si="13"/>
        <v>-178.11376999999993</v>
      </c>
      <c r="C7" s="24">
        <v>13627.18623</v>
      </c>
      <c r="D7" s="24">
        <v>9980.79764</v>
      </c>
      <c r="E7" s="45">
        <v>0</v>
      </c>
      <c r="F7" s="45">
        <v>0</v>
      </c>
      <c r="G7" s="20">
        <f>(B7-F7)/(C7-D7-E7)</f>
        <v>-0.04884662333807928</v>
      </c>
      <c r="H7" s="25" t="s">
        <v>26</v>
      </c>
      <c r="I7" s="68">
        <f>IF(G7&lt;=0.05,1,0)</f>
        <v>1</v>
      </c>
      <c r="J7" s="84">
        <v>2741.9</v>
      </c>
      <c r="K7" s="84">
        <v>2776</v>
      </c>
      <c r="L7" s="65">
        <f aca="true" t="shared" si="28" ref="L7:L16">J7/K7</f>
        <v>0.9877161383285303</v>
      </c>
      <c r="M7" s="25" t="s">
        <v>27</v>
      </c>
      <c r="N7" s="70">
        <f t="shared" si="15"/>
        <v>1</v>
      </c>
      <c r="O7" s="83">
        <f>8289.132-3541.442</f>
        <v>4747.69</v>
      </c>
      <c r="P7" s="83">
        <f>13805.282-3541.442</f>
        <v>10263.84</v>
      </c>
      <c r="Q7" s="66">
        <f t="shared" si="16"/>
        <v>0.462564693136292</v>
      </c>
      <c r="R7" s="70">
        <f t="shared" si="0"/>
        <v>2</v>
      </c>
      <c r="S7" s="22">
        <v>5</v>
      </c>
      <c r="T7" s="25" t="s">
        <v>31</v>
      </c>
      <c r="U7" s="70">
        <f t="shared" si="1"/>
        <v>1</v>
      </c>
      <c r="V7" s="24">
        <v>3435</v>
      </c>
      <c r="W7" s="24">
        <v>3221.5</v>
      </c>
      <c r="X7" s="24">
        <f t="shared" si="2"/>
        <v>1.0662734750892442</v>
      </c>
      <c r="Y7" s="71">
        <f t="shared" si="3"/>
        <v>0.5</v>
      </c>
      <c r="Z7" s="45">
        <v>3646.4</v>
      </c>
      <c r="AA7" s="24">
        <f t="shared" si="17"/>
        <v>3435</v>
      </c>
      <c r="AB7" s="24">
        <f t="shared" si="4"/>
        <v>1.061542940320233</v>
      </c>
      <c r="AC7" s="71">
        <f t="shared" si="5"/>
        <v>0</v>
      </c>
      <c r="AD7" s="24">
        <f t="shared" si="18"/>
        <v>3435</v>
      </c>
      <c r="AE7" s="81">
        <v>1447.1</v>
      </c>
      <c r="AF7" s="24">
        <v>3880.4</v>
      </c>
      <c r="AG7" s="82">
        <v>1250.8</v>
      </c>
      <c r="AH7" s="73">
        <f t="shared" si="19"/>
        <v>0.7651376531450483</v>
      </c>
      <c r="AI7" s="23">
        <f t="shared" si="6"/>
        <v>0</v>
      </c>
      <c r="AJ7" s="74">
        <f>9178.9-AK7-AL7-AM7</f>
        <v>2557.5000000000005</v>
      </c>
      <c r="AK7" s="74">
        <v>1574.5</v>
      </c>
      <c r="AL7" s="74">
        <f>3591.9-AK7</f>
        <v>2017.4</v>
      </c>
      <c r="AM7" s="74">
        <f>6621.4-AK7-AL7</f>
        <v>3029.4999999999995</v>
      </c>
      <c r="AN7" s="26">
        <f t="shared" si="20"/>
        <v>1.1587428640468787</v>
      </c>
      <c r="AO7" s="23">
        <f t="shared" si="21"/>
        <v>1</v>
      </c>
      <c r="AP7" s="22">
        <v>0</v>
      </c>
      <c r="AQ7" s="23">
        <f t="shared" si="7"/>
        <v>0</v>
      </c>
      <c r="AR7" s="58">
        <v>976.2</v>
      </c>
      <c r="AS7" s="75">
        <v>13805.3</v>
      </c>
      <c r="AT7" s="58">
        <v>974.1</v>
      </c>
      <c r="AU7" s="75">
        <v>10316.8535</v>
      </c>
      <c r="AV7" s="60">
        <f t="shared" si="27"/>
        <v>0.7489221491598241</v>
      </c>
      <c r="AW7" s="70">
        <f t="shared" si="22"/>
        <v>1</v>
      </c>
      <c r="AX7" s="27"/>
      <c r="AY7" s="23">
        <f t="shared" si="8"/>
        <v>0</v>
      </c>
      <c r="AZ7" s="45" t="s">
        <v>120</v>
      </c>
      <c r="BA7" s="45" t="s">
        <v>120</v>
      </c>
      <c r="BB7" s="62" t="e">
        <f t="shared" si="23"/>
        <v>#VALUE!</v>
      </c>
      <c r="BC7" s="72" t="e">
        <f t="shared" si="24"/>
        <v>#VALUE!</v>
      </c>
      <c r="BD7" s="25" t="s">
        <v>86</v>
      </c>
      <c r="BE7" s="23">
        <f t="shared" si="25"/>
        <v>1</v>
      </c>
      <c r="BF7" s="22">
        <v>1</v>
      </c>
      <c r="BG7" s="22">
        <v>1</v>
      </c>
      <c r="BH7" s="22">
        <v>1</v>
      </c>
      <c r="BI7" s="22">
        <v>1</v>
      </c>
      <c r="BJ7" s="22">
        <v>1</v>
      </c>
      <c r="BK7" s="21">
        <f t="shared" si="9"/>
        <v>5</v>
      </c>
      <c r="BL7" s="23">
        <f t="shared" si="10"/>
        <v>1</v>
      </c>
      <c r="BM7" s="41" t="s">
        <v>95</v>
      </c>
      <c r="BN7" s="40">
        <f t="shared" si="11"/>
        <v>0.5</v>
      </c>
      <c r="BO7" s="41" t="s">
        <v>95</v>
      </c>
      <c r="BP7" s="40">
        <f t="shared" si="12"/>
        <v>0.5</v>
      </c>
      <c r="BQ7" s="41" t="s">
        <v>92</v>
      </c>
      <c r="BR7" s="40">
        <f aca="true" t="shared" si="29" ref="BR7:BR16">IF(ISBLANK(BQ7),0,0.5)</f>
        <v>0.5</v>
      </c>
      <c r="BS7" s="103">
        <f t="shared" si="26"/>
        <v>11</v>
      </c>
      <c r="BT7" s="77">
        <v>10316.8535</v>
      </c>
      <c r="BU7" s="33"/>
      <c r="BV7" s="33"/>
      <c r="BW7" s="33"/>
      <c r="BX7" s="33"/>
      <c r="BY7" s="33"/>
      <c r="BZ7" s="33"/>
    </row>
    <row r="8" spans="1:78" ht="41.25">
      <c r="A8" s="35" t="s">
        <v>52</v>
      </c>
      <c r="B8" s="24">
        <f t="shared" si="13"/>
        <v>636.9486199999992</v>
      </c>
      <c r="C8" s="45">
        <v>29155.24862</v>
      </c>
      <c r="D8" s="24">
        <v>11295.30862</v>
      </c>
      <c r="E8" s="45">
        <v>0</v>
      </c>
      <c r="F8" s="45">
        <v>0</v>
      </c>
      <c r="G8" s="20">
        <f t="shared" si="14"/>
        <v>0.03566353638366082</v>
      </c>
      <c r="H8" s="25" t="s">
        <v>26</v>
      </c>
      <c r="I8" s="68">
        <f>IF(G8&lt;=0.1,1,0)</f>
        <v>1</v>
      </c>
      <c r="J8" s="84">
        <v>3333</v>
      </c>
      <c r="K8" s="84">
        <v>3333</v>
      </c>
      <c r="L8" s="65">
        <v>0</v>
      </c>
      <c r="M8" s="25" t="s">
        <v>27</v>
      </c>
      <c r="N8" s="70">
        <f t="shared" si="15"/>
        <v>1</v>
      </c>
      <c r="O8" s="83">
        <v>20014.2</v>
      </c>
      <c r="P8" s="83">
        <f>28518.3-8504.1</f>
        <v>20014.199999999997</v>
      </c>
      <c r="Q8" s="66">
        <f t="shared" si="16"/>
        <v>1.0000000000000002</v>
      </c>
      <c r="R8" s="70">
        <f t="shared" si="0"/>
        <v>5</v>
      </c>
      <c r="S8" s="22">
        <v>5</v>
      </c>
      <c r="T8" s="25" t="s">
        <v>31</v>
      </c>
      <c r="U8" s="70">
        <f t="shared" si="1"/>
        <v>1</v>
      </c>
      <c r="V8" s="24">
        <v>16840.4</v>
      </c>
      <c r="W8" s="24">
        <v>14861.3</v>
      </c>
      <c r="X8" s="24">
        <f t="shared" si="2"/>
        <v>1.1331713914664263</v>
      </c>
      <c r="Y8" s="71">
        <f t="shared" si="3"/>
        <v>0.5</v>
      </c>
      <c r="Z8" s="45">
        <v>17859.9</v>
      </c>
      <c r="AA8" s="24">
        <f t="shared" si="17"/>
        <v>16840.4</v>
      </c>
      <c r="AB8" s="24">
        <f t="shared" si="4"/>
        <v>1.0605389420678843</v>
      </c>
      <c r="AC8" s="71">
        <f t="shared" si="5"/>
        <v>0</v>
      </c>
      <c r="AD8" s="24">
        <f t="shared" si="18"/>
        <v>16840.4</v>
      </c>
      <c r="AE8" s="81">
        <v>1711.7</v>
      </c>
      <c r="AF8" s="24">
        <v>16430.9</v>
      </c>
      <c r="AG8" s="82">
        <v>1424.7</v>
      </c>
      <c r="AH8" s="73">
        <f t="shared" si="19"/>
        <v>0.853074232244261</v>
      </c>
      <c r="AI8" s="23">
        <f t="shared" si="6"/>
        <v>0</v>
      </c>
      <c r="AJ8" s="74">
        <f>19152.5-AK8-AL8-AM8</f>
        <v>6629.2</v>
      </c>
      <c r="AK8" s="74">
        <v>3879.3</v>
      </c>
      <c r="AL8" s="74">
        <f>8900.3-AK8</f>
        <v>5020.999999999999</v>
      </c>
      <c r="AM8" s="74">
        <f>12523.3-AK8-AL8</f>
        <v>3623.000000000001</v>
      </c>
      <c r="AN8" s="26">
        <f t="shared" si="20"/>
        <v>1.5880478787540024</v>
      </c>
      <c r="AO8" s="23">
        <f t="shared" si="21"/>
        <v>0</v>
      </c>
      <c r="AP8" s="22">
        <v>0</v>
      </c>
      <c r="AQ8" s="23">
        <f t="shared" si="7"/>
        <v>0</v>
      </c>
      <c r="AR8" s="58">
        <v>912.7</v>
      </c>
      <c r="AS8" s="75">
        <v>28518.3</v>
      </c>
      <c r="AT8" s="58">
        <v>1099.7</v>
      </c>
      <c r="AU8" s="75">
        <v>19711.5577</v>
      </c>
      <c r="AV8" s="60">
        <f>(AR8/AS8)/(AT8/AU8)</f>
        <v>0.5736554683201077</v>
      </c>
      <c r="AW8" s="70">
        <f t="shared" si="22"/>
        <v>1</v>
      </c>
      <c r="AX8" s="27"/>
      <c r="AY8" s="23">
        <f t="shared" si="8"/>
        <v>0</v>
      </c>
      <c r="AZ8" s="45" t="s">
        <v>120</v>
      </c>
      <c r="BA8" s="45" t="s">
        <v>120</v>
      </c>
      <c r="BB8" s="62" t="e">
        <f t="shared" si="23"/>
        <v>#VALUE!</v>
      </c>
      <c r="BC8" s="72" t="e">
        <f t="shared" si="24"/>
        <v>#VALUE!</v>
      </c>
      <c r="BD8" s="25" t="s">
        <v>86</v>
      </c>
      <c r="BE8" s="23">
        <f t="shared" si="25"/>
        <v>1</v>
      </c>
      <c r="BF8" s="22">
        <v>1</v>
      </c>
      <c r="BG8" s="22">
        <v>1</v>
      </c>
      <c r="BH8" s="22">
        <v>1</v>
      </c>
      <c r="BI8" s="22">
        <v>1</v>
      </c>
      <c r="BJ8" s="22">
        <v>1</v>
      </c>
      <c r="BK8" s="21">
        <f t="shared" si="9"/>
        <v>5</v>
      </c>
      <c r="BL8" s="23">
        <f t="shared" si="10"/>
        <v>1</v>
      </c>
      <c r="BM8" s="41" t="s">
        <v>103</v>
      </c>
      <c r="BN8" s="40">
        <f t="shared" si="11"/>
        <v>0.5</v>
      </c>
      <c r="BO8" s="41" t="s">
        <v>103</v>
      </c>
      <c r="BP8" s="40">
        <f t="shared" si="12"/>
        <v>0.5</v>
      </c>
      <c r="BQ8" s="41" t="s">
        <v>104</v>
      </c>
      <c r="BR8" s="40">
        <f t="shared" si="29"/>
        <v>0.5</v>
      </c>
      <c r="BS8" s="104">
        <f t="shared" si="26"/>
        <v>13</v>
      </c>
      <c r="BT8" s="77">
        <v>19711.5577</v>
      </c>
      <c r="BU8" s="33"/>
      <c r="BV8" s="33"/>
      <c r="BW8" s="33"/>
      <c r="BX8" s="33"/>
      <c r="BY8" s="33"/>
      <c r="BZ8" s="33"/>
    </row>
    <row r="9" spans="1:78" ht="27">
      <c r="A9" s="35" t="s">
        <v>53</v>
      </c>
      <c r="B9" s="24">
        <f t="shared" si="13"/>
        <v>-30.82832000000053</v>
      </c>
      <c r="C9" s="45">
        <v>6926.03968</v>
      </c>
      <c r="D9" s="24">
        <v>4416.45</v>
      </c>
      <c r="E9" s="45">
        <v>0</v>
      </c>
      <c r="F9" s="45">
        <v>0</v>
      </c>
      <c r="G9" s="20">
        <f t="shared" si="14"/>
        <v>-0.01228420735297275</v>
      </c>
      <c r="H9" s="25" t="s">
        <v>26</v>
      </c>
      <c r="I9" s="68">
        <f>IF(G9&lt;=0.05,1,0)</f>
        <v>1</v>
      </c>
      <c r="J9" s="84">
        <v>2080.15</v>
      </c>
      <c r="K9" s="84">
        <v>2396</v>
      </c>
      <c r="L9" s="65">
        <f t="shared" si="28"/>
        <v>0.8681761268781303</v>
      </c>
      <c r="M9" s="25" t="s">
        <v>27</v>
      </c>
      <c r="N9" s="70">
        <f t="shared" si="15"/>
        <v>1</v>
      </c>
      <c r="O9" s="83">
        <f>6956.868-117.95</f>
        <v>6838.918000000001</v>
      </c>
      <c r="P9" s="83">
        <f>6956.868-117.95</f>
        <v>6838.918000000001</v>
      </c>
      <c r="Q9" s="66">
        <f t="shared" si="16"/>
        <v>1</v>
      </c>
      <c r="R9" s="70">
        <f t="shared" si="0"/>
        <v>5</v>
      </c>
      <c r="S9" s="22">
        <v>6</v>
      </c>
      <c r="T9" s="25" t="s">
        <v>31</v>
      </c>
      <c r="U9" s="70">
        <f t="shared" si="1"/>
        <v>0</v>
      </c>
      <c r="V9" s="24">
        <v>2420.3</v>
      </c>
      <c r="W9" s="24">
        <v>2831</v>
      </c>
      <c r="X9" s="24">
        <f t="shared" si="2"/>
        <v>0.8549275874249382</v>
      </c>
      <c r="Y9" s="71">
        <f t="shared" si="3"/>
        <v>0.5</v>
      </c>
      <c r="Z9" s="45">
        <v>2509.6</v>
      </c>
      <c r="AA9" s="24">
        <f t="shared" si="17"/>
        <v>2420.3</v>
      </c>
      <c r="AB9" s="24">
        <f t="shared" si="4"/>
        <v>1.036896252530678</v>
      </c>
      <c r="AC9" s="71">
        <f t="shared" si="5"/>
        <v>0</v>
      </c>
      <c r="AD9" s="24">
        <f t="shared" si="18"/>
        <v>2420.3</v>
      </c>
      <c r="AE9" s="81">
        <v>1264</v>
      </c>
      <c r="AF9" s="24">
        <v>3181.8</v>
      </c>
      <c r="AG9" s="82">
        <v>1041.6</v>
      </c>
      <c r="AH9" s="73">
        <f t="shared" si="19"/>
        <v>0.6268306451805402</v>
      </c>
      <c r="AI9" s="23">
        <f t="shared" si="6"/>
        <v>0</v>
      </c>
      <c r="AJ9" s="74">
        <f>5867.718-AK9-AL9-AM9</f>
        <v>1774.4179999999997</v>
      </c>
      <c r="AK9" s="74">
        <v>1525.5</v>
      </c>
      <c r="AL9" s="74">
        <f>2886.4-AK9</f>
        <v>1360.9</v>
      </c>
      <c r="AM9" s="74">
        <f>4093.3-AK9-AL9</f>
        <v>1206.9</v>
      </c>
      <c r="AN9" s="26">
        <f t="shared" si="20"/>
        <v>1.3004798084674953</v>
      </c>
      <c r="AO9" s="23">
        <f t="shared" si="21"/>
        <v>0</v>
      </c>
      <c r="AP9" s="22">
        <v>0</v>
      </c>
      <c r="AQ9" s="23">
        <f t="shared" si="7"/>
        <v>0</v>
      </c>
      <c r="AR9" s="58">
        <v>530.3</v>
      </c>
      <c r="AS9" s="75">
        <v>6956.868</v>
      </c>
      <c r="AT9" s="58">
        <v>653.9</v>
      </c>
      <c r="AU9" s="75">
        <v>6395.5624</v>
      </c>
      <c r="AV9" s="60">
        <f>(AR9/AS9)/(AT9/AU9)</f>
        <v>0.7455474124428462</v>
      </c>
      <c r="AW9" s="70">
        <f t="shared" si="22"/>
        <v>1</v>
      </c>
      <c r="AX9" s="27"/>
      <c r="AY9" s="23">
        <f t="shared" si="8"/>
        <v>0</v>
      </c>
      <c r="AZ9" s="45" t="s">
        <v>120</v>
      </c>
      <c r="BA9" s="45" t="s">
        <v>120</v>
      </c>
      <c r="BB9" s="62" t="e">
        <f t="shared" si="23"/>
        <v>#VALUE!</v>
      </c>
      <c r="BC9" s="72" t="e">
        <f t="shared" si="24"/>
        <v>#VALUE!</v>
      </c>
      <c r="BD9" s="25" t="s">
        <v>86</v>
      </c>
      <c r="BE9" s="23">
        <f t="shared" si="25"/>
        <v>1</v>
      </c>
      <c r="BF9" s="22">
        <v>1</v>
      </c>
      <c r="BG9" s="22">
        <v>1</v>
      </c>
      <c r="BH9" s="22">
        <v>1</v>
      </c>
      <c r="BI9" s="22">
        <v>1</v>
      </c>
      <c r="BJ9" s="22">
        <v>1</v>
      </c>
      <c r="BK9" s="21">
        <f t="shared" si="9"/>
        <v>5</v>
      </c>
      <c r="BL9" s="23">
        <f t="shared" si="10"/>
        <v>1</v>
      </c>
      <c r="BM9" s="41" t="s">
        <v>105</v>
      </c>
      <c r="BN9" s="40">
        <f t="shared" si="11"/>
        <v>0.5</v>
      </c>
      <c r="BO9" s="41" t="s">
        <v>106</v>
      </c>
      <c r="BP9" s="40">
        <f t="shared" si="12"/>
        <v>0.5</v>
      </c>
      <c r="BQ9" s="41" t="s">
        <v>96</v>
      </c>
      <c r="BR9" s="40">
        <f t="shared" si="29"/>
        <v>0.5</v>
      </c>
      <c r="BS9" s="103">
        <f t="shared" si="26"/>
        <v>12</v>
      </c>
      <c r="BT9" s="77">
        <v>6395.5624</v>
      </c>
      <c r="BU9" s="33"/>
      <c r="BV9" s="33"/>
      <c r="BW9" s="33"/>
      <c r="BX9" s="33"/>
      <c r="BY9" s="33"/>
      <c r="BZ9" s="33"/>
    </row>
    <row r="10" spans="1:78" ht="27">
      <c r="A10" s="35" t="s">
        <v>54</v>
      </c>
      <c r="B10" s="24">
        <f>C10-AS10</f>
        <v>-117.76090000000113</v>
      </c>
      <c r="C10" s="45">
        <v>14107.3391</v>
      </c>
      <c r="D10" s="24">
        <v>3614.9</v>
      </c>
      <c r="E10" s="45">
        <v>0</v>
      </c>
      <c r="F10" s="45">
        <v>1000</v>
      </c>
      <c r="G10" s="20">
        <f t="shared" si="14"/>
        <v>-0.10653012987228119</v>
      </c>
      <c r="H10" s="25" t="s">
        <v>26</v>
      </c>
      <c r="I10" s="68">
        <f>IF(G10&lt;=0.05,1,0)</f>
        <v>1</v>
      </c>
      <c r="J10" s="84">
        <v>3744.87</v>
      </c>
      <c r="K10" s="84">
        <v>0</v>
      </c>
      <c r="L10" s="65">
        <v>0</v>
      </c>
      <c r="M10" s="25" t="s">
        <v>27</v>
      </c>
      <c r="N10" s="70">
        <f t="shared" si="15"/>
        <v>1</v>
      </c>
      <c r="O10" s="83">
        <f>5152.351-584.621</f>
        <v>4567.73</v>
      </c>
      <c r="P10" s="83">
        <f>14233.089-584.621</f>
        <v>13648.468</v>
      </c>
      <c r="Q10" s="66">
        <f t="shared" si="16"/>
        <v>0.334669795906764</v>
      </c>
      <c r="R10" s="70">
        <f t="shared" si="0"/>
        <v>2</v>
      </c>
      <c r="S10" s="22">
        <v>9</v>
      </c>
      <c r="T10" s="25" t="s">
        <v>31</v>
      </c>
      <c r="U10" s="70">
        <f t="shared" si="1"/>
        <v>0</v>
      </c>
      <c r="V10" s="24">
        <v>10630.9</v>
      </c>
      <c r="W10" s="24">
        <v>10226.4</v>
      </c>
      <c r="X10" s="24">
        <f t="shared" si="2"/>
        <v>1.0395544864272863</v>
      </c>
      <c r="Y10" s="71">
        <f t="shared" si="3"/>
        <v>1</v>
      </c>
      <c r="Z10" s="45">
        <v>10492.4</v>
      </c>
      <c r="AA10" s="24">
        <f t="shared" si="17"/>
        <v>10630.9</v>
      </c>
      <c r="AB10" s="24">
        <f t="shared" si="4"/>
        <v>0.9869719402872758</v>
      </c>
      <c r="AC10" s="71">
        <f t="shared" si="5"/>
        <v>1</v>
      </c>
      <c r="AD10" s="24">
        <f t="shared" si="18"/>
        <v>10630.9</v>
      </c>
      <c r="AE10" s="81">
        <v>1355.2</v>
      </c>
      <c r="AF10" s="24">
        <v>11916.1</v>
      </c>
      <c r="AG10" s="82">
        <v>1151.1</v>
      </c>
      <c r="AH10" s="73">
        <f t="shared" si="19"/>
        <v>0.7577842154454411</v>
      </c>
      <c r="AI10" s="23">
        <f t="shared" si="6"/>
        <v>0</v>
      </c>
      <c r="AJ10" s="74">
        <f>13083.5-AK10-AL10-AM10</f>
        <v>3910.7999999999997</v>
      </c>
      <c r="AK10" s="74">
        <v>2813.6</v>
      </c>
      <c r="AL10" s="74">
        <f>6666.4-AK10</f>
        <v>3852.7999999999997</v>
      </c>
      <c r="AM10" s="74">
        <f>9172.7-AK10-AL10</f>
        <v>2506.3000000000006</v>
      </c>
      <c r="AN10" s="26">
        <f t="shared" si="20"/>
        <v>1.2790563301972155</v>
      </c>
      <c r="AO10" s="23">
        <f t="shared" si="21"/>
        <v>1</v>
      </c>
      <c r="AP10" s="22">
        <v>0</v>
      </c>
      <c r="AQ10" s="23">
        <f t="shared" si="7"/>
        <v>0</v>
      </c>
      <c r="AR10" s="58">
        <v>715.6</v>
      </c>
      <c r="AS10" s="75">
        <v>14225.1</v>
      </c>
      <c r="AT10" s="58">
        <v>810.6</v>
      </c>
      <c r="AU10" s="75">
        <v>17613.5521</v>
      </c>
      <c r="AV10" s="60">
        <f t="shared" si="27"/>
        <v>1.093088569165116</v>
      </c>
      <c r="AW10" s="70">
        <f t="shared" si="22"/>
        <v>0</v>
      </c>
      <c r="AX10" s="27"/>
      <c r="AY10" s="23">
        <f t="shared" si="8"/>
        <v>0</v>
      </c>
      <c r="AZ10" s="45" t="s">
        <v>120</v>
      </c>
      <c r="BA10" s="45" t="s">
        <v>120</v>
      </c>
      <c r="BB10" s="62" t="e">
        <f t="shared" si="23"/>
        <v>#VALUE!</v>
      </c>
      <c r="BC10" s="72" t="e">
        <f t="shared" si="24"/>
        <v>#VALUE!</v>
      </c>
      <c r="BD10" s="25" t="s">
        <v>86</v>
      </c>
      <c r="BE10" s="23">
        <f t="shared" si="25"/>
        <v>1</v>
      </c>
      <c r="BF10" s="22">
        <v>1</v>
      </c>
      <c r="BG10" s="22">
        <v>1</v>
      </c>
      <c r="BH10" s="22">
        <v>1</v>
      </c>
      <c r="BI10" s="22">
        <v>1</v>
      </c>
      <c r="BJ10" s="22">
        <v>1</v>
      </c>
      <c r="BK10" s="21">
        <f>BF10+BG10+BH10+BI10+BJ10</f>
        <v>5</v>
      </c>
      <c r="BL10" s="23">
        <f t="shared" si="10"/>
        <v>1</v>
      </c>
      <c r="BM10" s="42" t="s">
        <v>81</v>
      </c>
      <c r="BN10" s="40">
        <f t="shared" si="11"/>
        <v>0.5</v>
      </c>
      <c r="BO10" s="41" t="s">
        <v>82</v>
      </c>
      <c r="BP10" s="40">
        <f t="shared" si="12"/>
        <v>0.5</v>
      </c>
      <c r="BQ10" s="41" t="s">
        <v>88</v>
      </c>
      <c r="BR10" s="40">
        <f t="shared" si="29"/>
        <v>0.5</v>
      </c>
      <c r="BS10" s="103">
        <f t="shared" si="26"/>
        <v>9.5</v>
      </c>
      <c r="BT10" s="77">
        <v>17613.5521</v>
      </c>
      <c r="BU10" s="33"/>
      <c r="BV10" s="33"/>
      <c r="BW10" s="33"/>
      <c r="BX10" s="33"/>
      <c r="BY10" s="33"/>
      <c r="BZ10" s="33"/>
    </row>
    <row r="11" spans="1:78" ht="41.25">
      <c r="A11" s="35" t="s">
        <v>55</v>
      </c>
      <c r="B11" s="24">
        <f t="shared" si="13"/>
        <v>270.48031999999967</v>
      </c>
      <c r="C11" s="45">
        <v>5676.08032</v>
      </c>
      <c r="D11" s="24">
        <v>4595.413</v>
      </c>
      <c r="E11" s="45">
        <v>0</v>
      </c>
      <c r="F11" s="45">
        <v>0</v>
      </c>
      <c r="G11" s="20">
        <f t="shared" si="14"/>
        <v>0.25029008927557794</v>
      </c>
      <c r="H11" s="25" t="s">
        <v>26</v>
      </c>
      <c r="I11" s="68">
        <f>IF(G11&lt;=0.1,1,0)</f>
        <v>0</v>
      </c>
      <c r="J11" s="84">
        <v>1991</v>
      </c>
      <c r="K11" s="84">
        <v>1995</v>
      </c>
      <c r="L11" s="65">
        <f t="shared" si="28"/>
        <v>0.9979949874686717</v>
      </c>
      <c r="M11" s="25" t="s">
        <v>27</v>
      </c>
      <c r="N11" s="70">
        <f t="shared" si="15"/>
        <v>1</v>
      </c>
      <c r="O11" s="83">
        <f>3860.4-113</f>
        <v>3747.4</v>
      </c>
      <c r="P11" s="83">
        <f>5405.6-113</f>
        <v>5292.6</v>
      </c>
      <c r="Q11" s="66">
        <f t="shared" si="16"/>
        <v>0.7080451951781732</v>
      </c>
      <c r="R11" s="70">
        <f t="shared" si="0"/>
        <v>5</v>
      </c>
      <c r="S11" s="22">
        <v>5</v>
      </c>
      <c r="T11" s="25" t="s">
        <v>31</v>
      </c>
      <c r="U11" s="70">
        <f t="shared" si="1"/>
        <v>1</v>
      </c>
      <c r="V11" s="24">
        <v>1015.2</v>
      </c>
      <c r="W11" s="24">
        <v>783.8</v>
      </c>
      <c r="X11" s="24">
        <f t="shared" si="2"/>
        <v>1.2952283745853534</v>
      </c>
      <c r="Y11" s="71">
        <f t="shared" si="3"/>
        <v>0</v>
      </c>
      <c r="Z11" s="45">
        <v>1080.7</v>
      </c>
      <c r="AA11" s="24">
        <f t="shared" si="17"/>
        <v>1015.2</v>
      </c>
      <c r="AB11" s="24">
        <f t="shared" si="4"/>
        <v>1.0645193065405831</v>
      </c>
      <c r="AC11" s="71">
        <f t="shared" si="5"/>
        <v>0</v>
      </c>
      <c r="AD11" s="24">
        <f t="shared" si="18"/>
        <v>1015.2</v>
      </c>
      <c r="AE11" s="81">
        <v>584.4</v>
      </c>
      <c r="AF11" s="24">
        <v>1236.1</v>
      </c>
      <c r="AG11" s="82">
        <v>475.1</v>
      </c>
      <c r="AH11" s="73">
        <f t="shared" si="19"/>
        <v>0.6676868544124422</v>
      </c>
      <c r="AI11" s="23">
        <f t="shared" si="6"/>
        <v>0</v>
      </c>
      <c r="AJ11" s="74">
        <f>4879.332-AK11-AL11-AM11</f>
        <v>1597.7320000000004</v>
      </c>
      <c r="AK11" s="74">
        <v>1027.1</v>
      </c>
      <c r="AL11" s="74">
        <f>2155.1-AK11</f>
        <v>1128</v>
      </c>
      <c r="AM11" s="74">
        <f>3281.6-AK11-AL11</f>
        <v>1126.5</v>
      </c>
      <c r="AN11" s="26">
        <f t="shared" si="20"/>
        <v>1.460627742564603</v>
      </c>
      <c r="AO11" s="23">
        <f t="shared" si="21"/>
        <v>0.5</v>
      </c>
      <c r="AP11" s="22">
        <v>0</v>
      </c>
      <c r="AQ11" s="23">
        <f t="shared" si="7"/>
        <v>0</v>
      </c>
      <c r="AR11" s="58">
        <v>39.4</v>
      </c>
      <c r="AS11" s="75">
        <v>5405.6</v>
      </c>
      <c r="AT11" s="58">
        <v>40.9</v>
      </c>
      <c r="AU11" s="75">
        <v>5736.0894</v>
      </c>
      <c r="AV11" s="60">
        <f t="shared" si="27"/>
        <v>1.0222212840582239</v>
      </c>
      <c r="AW11" s="70">
        <f t="shared" si="22"/>
        <v>0</v>
      </c>
      <c r="AX11" s="27"/>
      <c r="AY11" s="23">
        <f t="shared" si="8"/>
        <v>0</v>
      </c>
      <c r="AZ11" s="45" t="s">
        <v>120</v>
      </c>
      <c r="BA11" s="45" t="s">
        <v>120</v>
      </c>
      <c r="BB11" s="62" t="e">
        <f t="shared" si="23"/>
        <v>#VALUE!</v>
      </c>
      <c r="BC11" s="72" t="e">
        <f t="shared" si="24"/>
        <v>#VALUE!</v>
      </c>
      <c r="BD11" s="25" t="s">
        <v>86</v>
      </c>
      <c r="BE11" s="23">
        <f t="shared" si="25"/>
        <v>1</v>
      </c>
      <c r="BF11" s="22">
        <v>1</v>
      </c>
      <c r="BG11" s="22">
        <v>1</v>
      </c>
      <c r="BH11" s="22">
        <v>1</v>
      </c>
      <c r="BI11" s="22">
        <v>1</v>
      </c>
      <c r="BJ11" s="22">
        <v>1</v>
      </c>
      <c r="BK11" s="21">
        <f t="shared" si="9"/>
        <v>5</v>
      </c>
      <c r="BL11" s="23">
        <f t="shared" si="10"/>
        <v>1</v>
      </c>
      <c r="BM11" s="41" t="s">
        <v>61</v>
      </c>
      <c r="BN11" s="40">
        <f t="shared" si="11"/>
        <v>0.5</v>
      </c>
      <c r="BO11" s="56" t="s">
        <v>108</v>
      </c>
      <c r="BP11" s="40">
        <f t="shared" si="12"/>
        <v>0.5</v>
      </c>
      <c r="BQ11" s="41" t="s">
        <v>97</v>
      </c>
      <c r="BR11" s="40">
        <f t="shared" si="29"/>
        <v>0.5</v>
      </c>
      <c r="BS11" s="103">
        <f t="shared" si="26"/>
        <v>11</v>
      </c>
      <c r="BT11" s="77">
        <v>5736.0894</v>
      </c>
      <c r="BU11" s="33"/>
      <c r="BV11" s="33"/>
      <c r="BW11" s="33"/>
      <c r="BX11" s="33"/>
      <c r="BY11" s="33"/>
      <c r="BZ11" s="33"/>
    </row>
    <row r="12" spans="1:78" ht="45" customHeight="1">
      <c r="A12" s="35" t="s">
        <v>56</v>
      </c>
      <c r="B12" s="24">
        <f t="shared" si="13"/>
        <v>17.648369999999886</v>
      </c>
      <c r="C12" s="45">
        <v>6635.44837</v>
      </c>
      <c r="D12" s="24">
        <v>5152.6</v>
      </c>
      <c r="E12" s="45">
        <v>0</v>
      </c>
      <c r="F12" s="45">
        <v>0</v>
      </c>
      <c r="G12" s="20">
        <f t="shared" si="14"/>
        <v>0.011901668678369245</v>
      </c>
      <c r="H12" s="25" t="s">
        <v>26</v>
      </c>
      <c r="I12" s="68">
        <f>IF(G12&lt;=0.1,1,0)</f>
        <v>1</v>
      </c>
      <c r="J12" s="84">
        <v>2011.53</v>
      </c>
      <c r="K12" s="84">
        <v>2023</v>
      </c>
      <c r="L12" s="65">
        <f t="shared" si="28"/>
        <v>0.994330202669303</v>
      </c>
      <c r="M12" s="25" t="s">
        <v>27</v>
      </c>
      <c r="N12" s="70">
        <f t="shared" si="15"/>
        <v>1</v>
      </c>
      <c r="O12" s="83">
        <f>6617.768-117.95</f>
        <v>6499.818</v>
      </c>
      <c r="P12" s="83">
        <f>6617.768-117.95</f>
        <v>6499.818</v>
      </c>
      <c r="Q12" s="66">
        <f t="shared" si="16"/>
        <v>1</v>
      </c>
      <c r="R12" s="70">
        <f t="shared" si="0"/>
        <v>5</v>
      </c>
      <c r="S12" s="22">
        <v>4</v>
      </c>
      <c r="T12" s="25" t="s">
        <v>31</v>
      </c>
      <c r="U12" s="70">
        <f t="shared" si="1"/>
        <v>1</v>
      </c>
      <c r="V12" s="24">
        <v>1431.7</v>
      </c>
      <c r="W12" s="24">
        <v>1152.8</v>
      </c>
      <c r="X12" s="24">
        <f t="shared" si="2"/>
        <v>1.2419326856349757</v>
      </c>
      <c r="Y12" s="71">
        <f t="shared" si="3"/>
        <v>0</v>
      </c>
      <c r="Z12" s="45">
        <v>1482.9</v>
      </c>
      <c r="AA12" s="24">
        <f t="shared" si="17"/>
        <v>1431.7</v>
      </c>
      <c r="AB12" s="24">
        <f t="shared" si="4"/>
        <v>1.0357616819166027</v>
      </c>
      <c r="AC12" s="71">
        <f t="shared" si="5"/>
        <v>0</v>
      </c>
      <c r="AD12" s="24">
        <f t="shared" si="18"/>
        <v>1431.7</v>
      </c>
      <c r="AE12" s="81">
        <v>595.1</v>
      </c>
      <c r="AF12" s="24">
        <v>1120.3</v>
      </c>
      <c r="AG12" s="82">
        <v>453.3</v>
      </c>
      <c r="AH12" s="73">
        <f t="shared" si="19"/>
        <v>0.9734495703726287</v>
      </c>
      <c r="AI12" s="23">
        <f t="shared" si="6"/>
        <v>0</v>
      </c>
      <c r="AJ12" s="74">
        <f>6152.2-AK12-AL12-AM12</f>
        <v>2041.0999999999997</v>
      </c>
      <c r="AK12" s="74">
        <v>1322.2</v>
      </c>
      <c r="AL12" s="74">
        <f>2644.4-AK12</f>
        <v>1322.2</v>
      </c>
      <c r="AM12" s="74">
        <f>4111.1-AK12-AL12</f>
        <v>1466.7000000000005</v>
      </c>
      <c r="AN12" s="26">
        <f t="shared" si="20"/>
        <v>1.4894553769064238</v>
      </c>
      <c r="AO12" s="23">
        <f t="shared" si="21"/>
        <v>0.5</v>
      </c>
      <c r="AP12" s="22">
        <v>0</v>
      </c>
      <c r="AQ12" s="23">
        <f t="shared" si="7"/>
        <v>0</v>
      </c>
      <c r="AR12" s="58">
        <v>8.4</v>
      </c>
      <c r="AS12" s="75">
        <v>6617.8</v>
      </c>
      <c r="AT12" s="58">
        <v>3.3</v>
      </c>
      <c r="AU12" s="75">
        <v>5360.8419</v>
      </c>
      <c r="AV12" s="60">
        <f t="shared" si="27"/>
        <v>2.061981229686328</v>
      </c>
      <c r="AW12" s="70">
        <f t="shared" si="22"/>
        <v>0</v>
      </c>
      <c r="AX12" s="27"/>
      <c r="AY12" s="23">
        <f t="shared" si="8"/>
        <v>0</v>
      </c>
      <c r="AZ12" s="45" t="s">
        <v>120</v>
      </c>
      <c r="BA12" s="45" t="s">
        <v>120</v>
      </c>
      <c r="BB12" s="62" t="e">
        <f t="shared" si="23"/>
        <v>#VALUE!</v>
      </c>
      <c r="BC12" s="72" t="e">
        <f t="shared" si="24"/>
        <v>#VALUE!</v>
      </c>
      <c r="BD12" s="25" t="s">
        <v>86</v>
      </c>
      <c r="BE12" s="23">
        <f t="shared" si="25"/>
        <v>1</v>
      </c>
      <c r="BF12" s="22">
        <v>1</v>
      </c>
      <c r="BG12" s="22">
        <v>1</v>
      </c>
      <c r="BH12" s="22">
        <v>1</v>
      </c>
      <c r="BI12" s="22">
        <v>1</v>
      </c>
      <c r="BJ12" s="22">
        <v>1</v>
      </c>
      <c r="BK12" s="21">
        <f t="shared" si="9"/>
        <v>5</v>
      </c>
      <c r="BL12" s="23">
        <f t="shared" si="10"/>
        <v>1</v>
      </c>
      <c r="BM12" s="42" t="s">
        <v>98</v>
      </c>
      <c r="BN12" s="40">
        <f t="shared" si="11"/>
        <v>0.5</v>
      </c>
      <c r="BO12" s="42" t="s">
        <v>89</v>
      </c>
      <c r="BP12" s="40">
        <f t="shared" si="12"/>
        <v>0.5</v>
      </c>
      <c r="BQ12" s="41" t="s">
        <v>90</v>
      </c>
      <c r="BR12" s="40">
        <f t="shared" si="29"/>
        <v>0.5</v>
      </c>
      <c r="BS12" s="103">
        <f t="shared" si="26"/>
        <v>12</v>
      </c>
      <c r="BT12" s="77">
        <v>5360.8419</v>
      </c>
      <c r="BU12" s="33"/>
      <c r="BV12" s="33"/>
      <c r="BW12" s="33"/>
      <c r="BX12" s="33"/>
      <c r="BY12" s="33"/>
      <c r="BZ12" s="33"/>
    </row>
    <row r="13" spans="1:78" ht="27">
      <c r="A13" s="35" t="s">
        <v>57</v>
      </c>
      <c r="B13" s="24">
        <f t="shared" si="13"/>
        <v>-65.68322999999873</v>
      </c>
      <c r="C13" s="45">
        <v>9366.21677</v>
      </c>
      <c r="D13" s="24">
        <v>4954.1517</v>
      </c>
      <c r="E13" s="45">
        <v>0</v>
      </c>
      <c r="F13" s="45">
        <v>300</v>
      </c>
      <c r="G13" s="20">
        <f t="shared" si="14"/>
        <v>-0.08288255594562179</v>
      </c>
      <c r="H13" s="25" t="s">
        <v>26</v>
      </c>
      <c r="I13" s="68">
        <f>IF(G13&lt;=0.05,1,0)</f>
        <v>1</v>
      </c>
      <c r="J13" s="84">
        <v>2379.83</v>
      </c>
      <c r="K13" s="84">
        <v>2605</v>
      </c>
      <c r="L13" s="65">
        <v>0</v>
      </c>
      <c r="M13" s="25" t="s">
        <v>27</v>
      </c>
      <c r="N13" s="70">
        <f t="shared" si="15"/>
        <v>1</v>
      </c>
      <c r="O13" s="83">
        <f>9101.9-1120.359</f>
        <v>7981.540999999999</v>
      </c>
      <c r="P13" s="83">
        <f>9431.877-1120.359</f>
        <v>8311.518</v>
      </c>
      <c r="Q13" s="66">
        <f t="shared" si="16"/>
        <v>0.9602988286856864</v>
      </c>
      <c r="R13" s="70">
        <f t="shared" si="0"/>
        <v>5</v>
      </c>
      <c r="S13" s="22">
        <v>8</v>
      </c>
      <c r="T13" s="25" t="s">
        <v>31</v>
      </c>
      <c r="U13" s="70">
        <f t="shared" si="1"/>
        <v>0</v>
      </c>
      <c r="V13" s="24">
        <v>4394.1</v>
      </c>
      <c r="W13" s="24">
        <v>4180.5</v>
      </c>
      <c r="X13" s="24">
        <f t="shared" si="2"/>
        <v>1.0510943667025476</v>
      </c>
      <c r="Y13" s="71">
        <f t="shared" si="3"/>
        <v>0.5</v>
      </c>
      <c r="Z13" s="45">
        <v>4412.1</v>
      </c>
      <c r="AA13" s="24">
        <f t="shared" si="17"/>
        <v>4394.1</v>
      </c>
      <c r="AB13" s="24">
        <f t="shared" si="4"/>
        <v>1.0040964019935823</v>
      </c>
      <c r="AC13" s="71">
        <f t="shared" si="5"/>
        <v>1</v>
      </c>
      <c r="AD13" s="24">
        <f t="shared" si="18"/>
        <v>4394.1</v>
      </c>
      <c r="AE13" s="81">
        <v>1468.9</v>
      </c>
      <c r="AF13" s="24">
        <v>3986.7</v>
      </c>
      <c r="AG13" s="82">
        <v>1347.5</v>
      </c>
      <c r="AH13" s="73">
        <f t="shared" si="19"/>
        <v>1.0110972359772668</v>
      </c>
      <c r="AI13" s="23">
        <f t="shared" si="6"/>
        <v>1</v>
      </c>
      <c r="AJ13" s="74">
        <f>6920.1-AK13-AL13-AM13</f>
        <v>2606.3000000000006</v>
      </c>
      <c r="AK13" s="74">
        <v>1092.9</v>
      </c>
      <c r="AL13" s="74">
        <f>2347.1-AK13</f>
        <v>1254.1999999999998</v>
      </c>
      <c r="AM13" s="74">
        <f>4313.8-AK13-AL13</f>
        <v>1966.7000000000003</v>
      </c>
      <c r="AN13" s="26">
        <f t="shared" si="20"/>
        <v>1.8125318744494416</v>
      </c>
      <c r="AO13" s="23">
        <f t="shared" si="21"/>
        <v>0</v>
      </c>
      <c r="AP13" s="22">
        <v>0</v>
      </c>
      <c r="AQ13" s="23">
        <f t="shared" si="7"/>
        <v>0</v>
      </c>
      <c r="AR13" s="58">
        <v>45.3</v>
      </c>
      <c r="AS13" s="75">
        <v>9431.9</v>
      </c>
      <c r="AT13" s="58">
        <v>55.1</v>
      </c>
      <c r="AU13" s="75">
        <v>6423.9757</v>
      </c>
      <c r="AV13" s="60">
        <f t="shared" si="27"/>
        <v>0.5599526509536727</v>
      </c>
      <c r="AW13" s="70">
        <f t="shared" si="22"/>
        <v>1</v>
      </c>
      <c r="AX13" s="27"/>
      <c r="AY13" s="23">
        <f t="shared" si="8"/>
        <v>0</v>
      </c>
      <c r="AZ13" s="45" t="s">
        <v>120</v>
      </c>
      <c r="BA13" s="45" t="s">
        <v>120</v>
      </c>
      <c r="BB13" s="62" t="e">
        <f t="shared" si="23"/>
        <v>#VALUE!</v>
      </c>
      <c r="BC13" s="72" t="e">
        <f t="shared" si="24"/>
        <v>#VALUE!</v>
      </c>
      <c r="BD13" s="25" t="s">
        <v>86</v>
      </c>
      <c r="BE13" s="23">
        <f t="shared" si="25"/>
        <v>1</v>
      </c>
      <c r="BF13" s="22">
        <v>0</v>
      </c>
      <c r="BG13" s="22">
        <v>1</v>
      </c>
      <c r="BH13" s="22">
        <v>1</v>
      </c>
      <c r="BI13" s="22">
        <v>0</v>
      </c>
      <c r="BJ13" s="22">
        <v>0</v>
      </c>
      <c r="BK13" s="21">
        <f t="shared" si="9"/>
        <v>2</v>
      </c>
      <c r="BL13" s="23">
        <f t="shared" si="10"/>
        <v>0</v>
      </c>
      <c r="BM13" s="39" t="s">
        <v>112</v>
      </c>
      <c r="BN13" s="40">
        <f t="shared" si="11"/>
        <v>0.5</v>
      </c>
      <c r="BO13" s="39" t="s">
        <v>112</v>
      </c>
      <c r="BP13" s="40">
        <f t="shared" si="12"/>
        <v>0.5</v>
      </c>
      <c r="BQ13" s="41" t="s">
        <v>113</v>
      </c>
      <c r="BR13" s="40">
        <f t="shared" si="29"/>
        <v>0.5</v>
      </c>
      <c r="BS13" s="103">
        <f t="shared" si="26"/>
        <v>12</v>
      </c>
      <c r="BT13" s="77">
        <v>6423.975</v>
      </c>
      <c r="BU13" s="33"/>
      <c r="BV13" s="33"/>
      <c r="BW13" s="33"/>
      <c r="BX13" s="33"/>
      <c r="BY13" s="33"/>
      <c r="BZ13" s="33"/>
    </row>
    <row r="14" spans="1:78" ht="27">
      <c r="A14" s="35" t="s">
        <v>69</v>
      </c>
      <c r="B14" s="24">
        <f t="shared" si="13"/>
        <v>-617.3756699999994</v>
      </c>
      <c r="C14" s="45">
        <v>7739.52433</v>
      </c>
      <c r="D14" s="24">
        <v>4826.81288</v>
      </c>
      <c r="E14" s="45">
        <v>0</v>
      </c>
      <c r="F14" s="45">
        <v>0</v>
      </c>
      <c r="G14" s="20">
        <f t="shared" si="14"/>
        <v>-0.21195909055804327</v>
      </c>
      <c r="H14" s="25" t="s">
        <v>26</v>
      </c>
      <c r="I14" s="68">
        <f>IF(G14&lt;=0.05,1,0)</f>
        <v>1</v>
      </c>
      <c r="J14" s="84">
        <v>2495.76</v>
      </c>
      <c r="K14" s="84">
        <v>2655</v>
      </c>
      <c r="L14" s="65">
        <f t="shared" si="28"/>
        <v>0.9400225988700566</v>
      </c>
      <c r="M14" s="25" t="s">
        <v>27</v>
      </c>
      <c r="N14" s="70">
        <f t="shared" si="15"/>
        <v>1</v>
      </c>
      <c r="O14" s="83">
        <f>7732.579-1742.769</f>
        <v>5989.8099999999995</v>
      </c>
      <c r="P14" s="83">
        <f>8356.936-1742.769</f>
        <v>6614.1669999999995</v>
      </c>
      <c r="Q14" s="66">
        <f t="shared" si="16"/>
        <v>0.9056030789667089</v>
      </c>
      <c r="R14" s="70">
        <f t="shared" si="0"/>
        <v>5</v>
      </c>
      <c r="S14" s="22">
        <v>6</v>
      </c>
      <c r="T14" s="25" t="s">
        <v>31</v>
      </c>
      <c r="U14" s="70">
        <f t="shared" si="1"/>
        <v>0</v>
      </c>
      <c r="V14" s="24">
        <v>2539.6</v>
      </c>
      <c r="W14" s="24">
        <v>2536.6</v>
      </c>
      <c r="X14" s="24">
        <f t="shared" si="2"/>
        <v>1.0011826854845067</v>
      </c>
      <c r="Y14" s="71">
        <f t="shared" si="3"/>
        <v>1</v>
      </c>
      <c r="Z14" s="45">
        <v>2912.7</v>
      </c>
      <c r="AA14" s="24">
        <f t="shared" si="17"/>
        <v>2539.6</v>
      </c>
      <c r="AB14" s="24">
        <f t="shared" si="4"/>
        <v>1.1469128996692393</v>
      </c>
      <c r="AC14" s="71">
        <f t="shared" si="5"/>
        <v>0</v>
      </c>
      <c r="AD14" s="24">
        <f t="shared" si="18"/>
        <v>2539.6</v>
      </c>
      <c r="AE14" s="81">
        <v>1026.2</v>
      </c>
      <c r="AF14" s="24">
        <v>2979.4</v>
      </c>
      <c r="AG14" s="82">
        <v>846.7</v>
      </c>
      <c r="AH14" s="73">
        <f t="shared" si="19"/>
        <v>0.7032893719227645</v>
      </c>
      <c r="AI14" s="23">
        <f t="shared" si="6"/>
        <v>0</v>
      </c>
      <c r="AJ14" s="74">
        <f>5909.1-AK14-AL14-AM14</f>
        <v>1890.8000000000002</v>
      </c>
      <c r="AK14" s="74">
        <v>1105</v>
      </c>
      <c r="AL14" s="74">
        <f>2170.6-AK14</f>
        <v>1065.6</v>
      </c>
      <c r="AM14" s="74">
        <f>4018.3-AK14-AL14</f>
        <v>1847.7000000000003</v>
      </c>
      <c r="AN14" s="26">
        <f t="shared" si="20"/>
        <v>1.4116417390438745</v>
      </c>
      <c r="AO14" s="23">
        <f t="shared" si="21"/>
        <v>0.5</v>
      </c>
      <c r="AP14" s="22">
        <v>0</v>
      </c>
      <c r="AQ14" s="23">
        <f t="shared" si="7"/>
        <v>0</v>
      </c>
      <c r="AR14" s="58">
        <v>3.6</v>
      </c>
      <c r="AS14" s="75">
        <v>8356.9</v>
      </c>
      <c r="AT14" s="58">
        <v>3.6</v>
      </c>
      <c r="AU14" s="75">
        <v>5791.6493</v>
      </c>
      <c r="AV14" s="60">
        <f>(AR14/AS14)/(AT14/AU14)</f>
        <v>0.6930380045232084</v>
      </c>
      <c r="AW14" s="70">
        <f>IF(AV14&lt;=1,1,0)</f>
        <v>1</v>
      </c>
      <c r="AX14" s="27"/>
      <c r="AY14" s="23">
        <f t="shared" si="8"/>
        <v>0</v>
      </c>
      <c r="AZ14" s="45" t="s">
        <v>120</v>
      </c>
      <c r="BA14" s="45" t="s">
        <v>120</v>
      </c>
      <c r="BB14" s="62" t="e">
        <f t="shared" si="23"/>
        <v>#VALUE!</v>
      </c>
      <c r="BC14" s="72" t="e">
        <f t="shared" si="24"/>
        <v>#VALUE!</v>
      </c>
      <c r="BD14" s="25" t="s">
        <v>86</v>
      </c>
      <c r="BE14" s="23">
        <f t="shared" si="25"/>
        <v>1</v>
      </c>
      <c r="BF14" s="22">
        <v>1</v>
      </c>
      <c r="BG14" s="22">
        <v>1</v>
      </c>
      <c r="BH14" s="22">
        <v>1</v>
      </c>
      <c r="BI14" s="22">
        <v>1</v>
      </c>
      <c r="BJ14" s="22">
        <v>1</v>
      </c>
      <c r="BK14" s="21">
        <f t="shared" si="9"/>
        <v>5</v>
      </c>
      <c r="BL14" s="23">
        <f t="shared" si="10"/>
        <v>1</v>
      </c>
      <c r="BM14" s="57"/>
      <c r="BN14" s="40">
        <f t="shared" si="11"/>
        <v>0</v>
      </c>
      <c r="BO14" s="57" t="s">
        <v>107</v>
      </c>
      <c r="BP14" s="40">
        <f t="shared" si="12"/>
        <v>0.5</v>
      </c>
      <c r="BQ14" s="41" t="s">
        <v>99</v>
      </c>
      <c r="BR14" s="40">
        <f t="shared" si="29"/>
        <v>0.5</v>
      </c>
      <c r="BS14" s="104">
        <f t="shared" si="26"/>
        <v>12.5</v>
      </c>
      <c r="BT14" s="77">
        <v>5791.6493</v>
      </c>
      <c r="BU14" s="33"/>
      <c r="BV14" s="33"/>
      <c r="BW14" s="33"/>
      <c r="BX14" s="33"/>
      <c r="BY14" s="33"/>
      <c r="BZ14" s="33"/>
    </row>
    <row r="15" spans="1:78" ht="27">
      <c r="A15" s="35" t="s">
        <v>58</v>
      </c>
      <c r="B15" s="24">
        <f t="shared" si="13"/>
        <v>325.2321000000011</v>
      </c>
      <c r="C15" s="45">
        <v>8873.1321</v>
      </c>
      <c r="D15" s="24">
        <v>910.5</v>
      </c>
      <c r="E15" s="45">
        <v>0</v>
      </c>
      <c r="F15" s="45">
        <v>0</v>
      </c>
      <c r="G15" s="20">
        <f t="shared" si="14"/>
        <v>0.04084479804109009</v>
      </c>
      <c r="H15" s="25" t="s">
        <v>26</v>
      </c>
      <c r="I15" s="68">
        <f>IF(G15&lt;=0.1,1,0)</f>
        <v>1</v>
      </c>
      <c r="J15" s="84">
        <v>3009.2</v>
      </c>
      <c r="K15" s="84">
        <v>3127</v>
      </c>
      <c r="L15" s="65">
        <v>0</v>
      </c>
      <c r="M15" s="25" t="s">
        <v>27</v>
      </c>
      <c r="N15" s="70">
        <f t="shared" si="15"/>
        <v>1</v>
      </c>
      <c r="O15" s="83">
        <f>6591.722-282.5</f>
        <v>6309.222</v>
      </c>
      <c r="P15" s="83">
        <f>8547.875-282.5</f>
        <v>8265.375</v>
      </c>
      <c r="Q15" s="66">
        <f t="shared" si="16"/>
        <v>0.7633316092736264</v>
      </c>
      <c r="R15" s="70">
        <f t="shared" si="0"/>
        <v>5</v>
      </c>
      <c r="S15" s="22">
        <v>6</v>
      </c>
      <c r="T15" s="25" t="s">
        <v>31</v>
      </c>
      <c r="U15" s="70">
        <f t="shared" si="1"/>
        <v>0</v>
      </c>
      <c r="V15" s="24">
        <v>7816.2</v>
      </c>
      <c r="W15" s="24">
        <v>7883</v>
      </c>
      <c r="X15" s="24">
        <f t="shared" si="2"/>
        <v>0.9915260687555499</v>
      </c>
      <c r="Y15" s="71">
        <f t="shared" si="3"/>
        <v>1</v>
      </c>
      <c r="Z15" s="45">
        <v>7962.6</v>
      </c>
      <c r="AA15" s="24">
        <f t="shared" si="17"/>
        <v>7816.2</v>
      </c>
      <c r="AB15" s="24">
        <f t="shared" si="4"/>
        <v>1.018730329316036</v>
      </c>
      <c r="AC15" s="71">
        <f t="shared" si="5"/>
        <v>1</v>
      </c>
      <c r="AD15" s="24">
        <f t="shared" si="18"/>
        <v>7816.2</v>
      </c>
      <c r="AE15" s="81">
        <v>470.2</v>
      </c>
      <c r="AF15" s="24">
        <v>7973.2</v>
      </c>
      <c r="AG15" s="82">
        <v>5552.7</v>
      </c>
      <c r="AH15" s="73">
        <f t="shared" si="19"/>
        <v>11.576694981143017</v>
      </c>
      <c r="AI15" s="23">
        <f t="shared" si="6"/>
        <v>1</v>
      </c>
      <c r="AJ15" s="74">
        <f>8265.375-AK15-AL15-AM15</f>
        <v>2800.2749999999996</v>
      </c>
      <c r="AK15" s="74">
        <v>1930.8</v>
      </c>
      <c r="AL15" s="74">
        <f>3845.6-AK15</f>
        <v>1914.8</v>
      </c>
      <c r="AM15" s="74">
        <f>5465.1-AK15-AL15</f>
        <v>1619.5000000000002</v>
      </c>
      <c r="AN15" s="26">
        <f t="shared" si="20"/>
        <v>1.5371768128671017</v>
      </c>
      <c r="AO15" s="23">
        <f t="shared" si="21"/>
        <v>0</v>
      </c>
      <c r="AP15" s="22">
        <v>0</v>
      </c>
      <c r="AQ15" s="23">
        <f t="shared" si="7"/>
        <v>0</v>
      </c>
      <c r="AR15" s="58">
        <v>10540.6</v>
      </c>
      <c r="AS15" s="75">
        <v>8547.9</v>
      </c>
      <c r="AT15" s="58">
        <v>1522.5</v>
      </c>
      <c r="AU15" s="75">
        <v>14168.23</v>
      </c>
      <c r="AV15" s="60">
        <f>(AR15/AS15)/(AT15/AU15)</f>
        <v>11.475303934434123</v>
      </c>
      <c r="AW15" s="70">
        <f>IF(AV15&lt;=1,1,0)</f>
        <v>0</v>
      </c>
      <c r="AX15" s="27"/>
      <c r="AY15" s="23">
        <f t="shared" si="8"/>
        <v>0</v>
      </c>
      <c r="AZ15" s="45" t="s">
        <v>120</v>
      </c>
      <c r="BA15" s="45" t="s">
        <v>120</v>
      </c>
      <c r="BB15" s="62" t="e">
        <f t="shared" si="23"/>
        <v>#VALUE!</v>
      </c>
      <c r="BC15" s="72" t="e">
        <f t="shared" si="24"/>
        <v>#VALUE!</v>
      </c>
      <c r="BD15" s="25" t="s">
        <v>86</v>
      </c>
      <c r="BE15" s="23">
        <f t="shared" si="25"/>
        <v>1</v>
      </c>
      <c r="BF15" s="22">
        <v>1</v>
      </c>
      <c r="BG15" s="22">
        <v>1</v>
      </c>
      <c r="BH15" s="22">
        <v>1</v>
      </c>
      <c r="BI15" s="22">
        <v>0</v>
      </c>
      <c r="BJ15" s="22">
        <v>1</v>
      </c>
      <c r="BK15" s="21">
        <f t="shared" si="9"/>
        <v>4</v>
      </c>
      <c r="BL15" s="23">
        <f t="shared" si="10"/>
        <v>0</v>
      </c>
      <c r="BM15" s="43"/>
      <c r="BN15" s="40">
        <f t="shared" si="11"/>
        <v>0</v>
      </c>
      <c r="BO15" s="43"/>
      <c r="BP15" s="40">
        <f t="shared" si="12"/>
        <v>0</v>
      </c>
      <c r="BQ15" s="41" t="s">
        <v>109</v>
      </c>
      <c r="BR15" s="40">
        <f t="shared" si="29"/>
        <v>0.5</v>
      </c>
      <c r="BS15" s="103">
        <f t="shared" si="26"/>
        <v>10.5</v>
      </c>
      <c r="BT15" s="77">
        <v>14168.23</v>
      </c>
      <c r="BU15" s="33"/>
      <c r="BV15" s="33"/>
      <c r="BW15" s="33"/>
      <c r="BX15" s="33"/>
      <c r="BY15" s="33"/>
      <c r="BZ15" s="33"/>
    </row>
    <row r="16" spans="1:78" ht="27">
      <c r="A16" s="35" t="s">
        <v>59</v>
      </c>
      <c r="B16" s="24">
        <f t="shared" si="13"/>
        <v>1180.2532700000002</v>
      </c>
      <c r="C16" s="24">
        <v>6321.55327</v>
      </c>
      <c r="D16" s="24">
        <v>4084.85</v>
      </c>
      <c r="E16" s="45">
        <v>0</v>
      </c>
      <c r="F16" s="45">
        <v>0</v>
      </c>
      <c r="G16" s="20">
        <f t="shared" si="14"/>
        <v>0.5276753898607212</v>
      </c>
      <c r="H16" s="25" t="s">
        <v>26</v>
      </c>
      <c r="I16" s="69">
        <f>IF(G16&lt;=0.05,1,0)</f>
        <v>0</v>
      </c>
      <c r="J16" s="84">
        <v>1658.14</v>
      </c>
      <c r="K16" s="84">
        <v>2010</v>
      </c>
      <c r="L16" s="65">
        <f t="shared" si="28"/>
        <v>0.8249452736318409</v>
      </c>
      <c r="M16" s="25" t="s">
        <v>27</v>
      </c>
      <c r="N16" s="70">
        <f t="shared" si="15"/>
        <v>1</v>
      </c>
      <c r="O16" s="83">
        <f>5138.435-117.95</f>
        <v>5020.485000000001</v>
      </c>
      <c r="P16" s="83">
        <f>5141.335-117.95</f>
        <v>5023.385</v>
      </c>
      <c r="Q16" s="66">
        <f t="shared" si="16"/>
        <v>0.9994227000319507</v>
      </c>
      <c r="R16" s="70">
        <f t="shared" si="0"/>
        <v>5</v>
      </c>
      <c r="S16" s="22">
        <v>5</v>
      </c>
      <c r="T16" s="25" t="s">
        <v>31</v>
      </c>
      <c r="U16" s="70">
        <f t="shared" si="1"/>
        <v>1</v>
      </c>
      <c r="V16" s="24">
        <v>2174.6</v>
      </c>
      <c r="W16" s="24">
        <v>1891</v>
      </c>
      <c r="X16" s="24">
        <f t="shared" si="2"/>
        <v>1.1499735589635114</v>
      </c>
      <c r="Y16" s="71">
        <f t="shared" si="3"/>
        <v>0.5</v>
      </c>
      <c r="Z16" s="45">
        <v>2236.7</v>
      </c>
      <c r="AA16" s="24">
        <f t="shared" si="17"/>
        <v>2174.6</v>
      </c>
      <c r="AB16" s="24">
        <f t="shared" si="4"/>
        <v>1.0285569759955853</v>
      </c>
      <c r="AC16" s="71">
        <f t="shared" si="5"/>
        <v>0</v>
      </c>
      <c r="AD16" s="24">
        <f t="shared" si="18"/>
        <v>2174.6</v>
      </c>
      <c r="AE16" s="81">
        <v>530.5</v>
      </c>
      <c r="AF16" s="24">
        <v>2330.4</v>
      </c>
      <c r="AG16" s="82">
        <v>410.4</v>
      </c>
      <c r="AH16" s="73">
        <f t="shared" si="19"/>
        <v>0.7218897509393524</v>
      </c>
      <c r="AI16" s="23">
        <f t="shared" si="6"/>
        <v>0</v>
      </c>
      <c r="AJ16" s="74">
        <f>4738.685-AK16-AL16-AM16</f>
        <v>1522.2850000000003</v>
      </c>
      <c r="AK16" s="74">
        <v>916.4</v>
      </c>
      <c r="AL16" s="74">
        <f>2112.9-AK16</f>
        <v>1196.5</v>
      </c>
      <c r="AM16" s="74">
        <f>3216.4-AK16-AL16</f>
        <v>1103.5</v>
      </c>
      <c r="AN16" s="26">
        <f t="shared" si="20"/>
        <v>1.4198653774406171</v>
      </c>
      <c r="AO16" s="23">
        <f t="shared" si="21"/>
        <v>0.5</v>
      </c>
      <c r="AP16" s="22">
        <v>0</v>
      </c>
      <c r="AQ16" s="23">
        <f t="shared" si="7"/>
        <v>0</v>
      </c>
      <c r="AR16" s="58">
        <v>508.6</v>
      </c>
      <c r="AS16" s="75">
        <v>5141.3</v>
      </c>
      <c r="AT16" s="58">
        <v>1207.8</v>
      </c>
      <c r="AU16" s="75">
        <v>6198.0149</v>
      </c>
      <c r="AV16" s="60">
        <f>(AR16/AS16)/(AT16/AU16)</f>
        <v>0.5076460372673351</v>
      </c>
      <c r="AW16" s="70">
        <f>IF(AV16&lt;=1,1,0)</f>
        <v>1</v>
      </c>
      <c r="AX16" s="27"/>
      <c r="AY16" s="23">
        <f t="shared" si="8"/>
        <v>0</v>
      </c>
      <c r="AZ16" s="45" t="s">
        <v>120</v>
      </c>
      <c r="BA16" s="45" t="s">
        <v>120</v>
      </c>
      <c r="BB16" s="63" t="e">
        <f t="shared" si="23"/>
        <v>#VALUE!</v>
      </c>
      <c r="BC16" s="72" t="e">
        <f t="shared" si="24"/>
        <v>#VALUE!</v>
      </c>
      <c r="BD16" s="25" t="s">
        <v>86</v>
      </c>
      <c r="BE16" s="23">
        <f t="shared" si="25"/>
        <v>1</v>
      </c>
      <c r="BF16" s="22">
        <v>1</v>
      </c>
      <c r="BG16" s="22">
        <v>1</v>
      </c>
      <c r="BH16" s="22">
        <v>1</v>
      </c>
      <c r="BI16" s="22">
        <v>1</v>
      </c>
      <c r="BJ16" s="22">
        <v>1</v>
      </c>
      <c r="BK16" s="21">
        <f>BF16+BG16+BH16+BI16+BJ16</f>
        <v>5</v>
      </c>
      <c r="BL16" s="23">
        <f t="shared" si="10"/>
        <v>1</v>
      </c>
      <c r="BM16" s="41" t="s">
        <v>100</v>
      </c>
      <c r="BN16" s="23">
        <f t="shared" si="11"/>
        <v>0.5</v>
      </c>
      <c r="BO16" s="41" t="s">
        <v>110</v>
      </c>
      <c r="BP16" s="40">
        <f t="shared" si="12"/>
        <v>0.5</v>
      </c>
      <c r="BQ16" s="41" t="s">
        <v>111</v>
      </c>
      <c r="BR16" s="23">
        <f t="shared" si="29"/>
        <v>0.5</v>
      </c>
      <c r="BS16" s="104">
        <f t="shared" si="26"/>
        <v>12.5</v>
      </c>
      <c r="BT16" s="77">
        <v>6198.0149</v>
      </c>
      <c r="BU16" s="33"/>
      <c r="BV16" s="33"/>
      <c r="BW16" s="33"/>
      <c r="BX16" s="33"/>
      <c r="BY16" s="33"/>
      <c r="BZ16" s="33"/>
    </row>
    <row r="17" spans="1:78" s="47" customFormat="1" ht="18">
      <c r="A17" s="46"/>
      <c r="B17" s="38"/>
      <c r="C17" s="38"/>
      <c r="D17" s="38"/>
      <c r="E17" s="38"/>
      <c r="F17" s="38"/>
      <c r="K17" s="67"/>
      <c r="Z17" s="48"/>
      <c r="AA17" s="49"/>
      <c r="AJ17" s="48"/>
      <c r="AK17" s="48"/>
      <c r="AL17" s="48"/>
      <c r="AM17" s="48"/>
      <c r="AS17" s="50"/>
      <c r="AZ17" s="48"/>
      <c r="BA17" s="48"/>
      <c r="BS17" s="51"/>
      <c r="BT17" s="78"/>
      <c r="BU17" s="52"/>
      <c r="BV17" s="52"/>
      <c r="BW17" s="52"/>
      <c r="BX17" s="52"/>
      <c r="BY17" s="52"/>
      <c r="BZ17" s="52"/>
    </row>
    <row r="18" spans="1:72" s="54" customFormat="1" ht="60.75" customHeight="1">
      <c r="A18" s="95" t="s">
        <v>87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BT18" s="79"/>
    </row>
    <row r="19" spans="1:72" s="54" customFormat="1" ht="17.25">
      <c r="A19" s="53"/>
      <c r="BS19" s="55"/>
      <c r="BT19" s="79"/>
    </row>
    <row r="20" spans="1:72" s="54" customFormat="1" ht="17.25">
      <c r="A20" s="53"/>
      <c r="BT20" s="79"/>
    </row>
    <row r="21" spans="1:72" s="54" customFormat="1" ht="13.5">
      <c r="A21" s="99"/>
      <c r="B21" s="98"/>
      <c r="C21" s="98"/>
      <c r="D21" s="98"/>
      <c r="E21" s="98"/>
      <c r="F21" s="98"/>
      <c r="G21" s="98"/>
      <c r="BT21" s="79"/>
    </row>
    <row r="22" spans="1:72" s="54" customFormat="1" ht="13.5">
      <c r="A22" s="99"/>
      <c r="B22" s="28"/>
      <c r="C22" s="28"/>
      <c r="D22" s="28"/>
      <c r="E22" s="28"/>
      <c r="F22" s="28"/>
      <c r="G22" s="28"/>
      <c r="BT22" s="79"/>
    </row>
    <row r="23" spans="1:72" s="54" customFormat="1" ht="18">
      <c r="A23" s="36"/>
      <c r="B23" s="29"/>
      <c r="C23" s="30"/>
      <c r="D23" s="29"/>
      <c r="E23" s="31"/>
      <c r="F23" s="31"/>
      <c r="G23" s="31"/>
      <c r="BT23" s="79"/>
    </row>
    <row r="24" spans="1:72" s="54" customFormat="1" ht="18">
      <c r="A24" s="36"/>
      <c r="B24" s="29"/>
      <c r="C24" s="30"/>
      <c r="D24" s="29"/>
      <c r="E24" s="31"/>
      <c r="F24" s="31"/>
      <c r="G24" s="31"/>
      <c r="BT24" s="79"/>
    </row>
    <row r="25" spans="1:72" s="54" customFormat="1" ht="18">
      <c r="A25" s="36"/>
      <c r="B25" s="29"/>
      <c r="C25" s="30"/>
      <c r="D25" s="29"/>
      <c r="E25" s="31"/>
      <c r="F25" s="31"/>
      <c r="G25" s="31"/>
      <c r="BT25" s="79"/>
    </row>
    <row r="26" spans="1:72" s="54" customFormat="1" ht="18">
      <c r="A26" s="36"/>
      <c r="B26" s="29"/>
      <c r="C26" s="30"/>
      <c r="D26" s="29"/>
      <c r="E26" s="31"/>
      <c r="F26" s="31"/>
      <c r="G26" s="31"/>
      <c r="BT26" s="79"/>
    </row>
    <row r="27" spans="1:7" ht="18">
      <c r="A27" s="36"/>
      <c r="B27" s="29"/>
      <c r="C27" s="30"/>
      <c r="D27" s="29"/>
      <c r="E27" s="29"/>
      <c r="F27" s="29"/>
      <c r="G27" s="29"/>
    </row>
    <row r="28" spans="1:7" ht="18">
      <c r="A28" s="36"/>
      <c r="B28" s="29"/>
      <c r="C28" s="30"/>
      <c r="D28" s="29"/>
      <c r="E28" s="31"/>
      <c r="F28" s="31"/>
      <c r="G28" s="31"/>
    </row>
    <row r="29" spans="1:7" ht="18">
      <c r="A29" s="36"/>
      <c r="B29" s="29"/>
      <c r="C29" s="30"/>
      <c r="D29" s="29"/>
      <c r="E29" s="31"/>
      <c r="F29" s="31"/>
      <c r="G29" s="31"/>
    </row>
    <row r="30" spans="1:7" ht="18">
      <c r="A30" s="36"/>
      <c r="B30" s="29"/>
      <c r="C30" s="30"/>
      <c r="D30" s="29"/>
      <c r="E30" s="31"/>
      <c r="F30" s="31"/>
      <c r="G30" s="31"/>
    </row>
    <row r="31" spans="1:7" ht="18">
      <c r="A31" s="36"/>
      <c r="B31" s="29"/>
      <c r="C31" s="30"/>
      <c r="D31" s="29"/>
      <c r="E31" s="31"/>
      <c r="F31" s="31"/>
      <c r="G31" s="31"/>
    </row>
    <row r="32" spans="1:7" ht="18">
      <c r="A32" s="36"/>
      <c r="B32" s="29"/>
      <c r="C32" s="30"/>
      <c r="D32" s="29"/>
      <c r="E32" s="31"/>
      <c r="F32" s="31"/>
      <c r="G32" s="31"/>
    </row>
    <row r="33" spans="1:7" ht="18">
      <c r="A33" s="36"/>
      <c r="B33" s="29"/>
      <c r="C33" s="30"/>
      <c r="D33" s="29"/>
      <c r="E33" s="31"/>
      <c r="F33" s="31"/>
      <c r="G33" s="31"/>
    </row>
    <row r="34" spans="1:7" ht="18">
      <c r="A34" s="36"/>
      <c r="B34" s="29"/>
      <c r="C34" s="30"/>
      <c r="D34" s="29"/>
      <c r="E34" s="31"/>
      <c r="F34" s="31"/>
      <c r="G34" s="31"/>
    </row>
    <row r="35" spans="1:7" ht="18">
      <c r="A35" s="36"/>
      <c r="B35" s="29"/>
      <c r="C35" s="30"/>
      <c r="D35" s="29"/>
      <c r="E35" s="31"/>
      <c r="F35" s="31"/>
      <c r="G35" s="31"/>
    </row>
    <row r="36" spans="1:7" ht="17.25">
      <c r="A36" s="37"/>
      <c r="B36" s="8"/>
      <c r="C36" s="8"/>
      <c r="D36" s="8"/>
      <c r="E36" s="8"/>
      <c r="F36" s="8"/>
      <c r="G36" s="8"/>
    </row>
    <row r="53" spans="1:7" ht="17.25">
      <c r="A53" s="37"/>
      <c r="B53" s="32"/>
      <c r="C53" s="32"/>
      <c r="D53" s="32"/>
      <c r="E53" s="32"/>
      <c r="F53" s="32"/>
      <c r="G53" s="32"/>
    </row>
    <row r="54" spans="1:7" ht="18">
      <c r="A54" s="36"/>
      <c r="B54" s="29"/>
      <c r="C54" s="29"/>
      <c r="D54" s="29"/>
      <c r="E54" s="31"/>
      <c r="F54" s="31"/>
      <c r="G54" s="31"/>
    </row>
    <row r="55" spans="1:7" ht="18">
      <c r="A55" s="36"/>
      <c r="B55" s="29"/>
      <c r="C55" s="29"/>
      <c r="D55" s="29"/>
      <c r="E55" s="31"/>
      <c r="F55" s="31"/>
      <c r="G55" s="31"/>
    </row>
    <row r="56" spans="1:7" ht="18">
      <c r="A56" s="36"/>
      <c r="B56" s="29"/>
      <c r="C56" s="29"/>
      <c r="D56" s="29"/>
      <c r="E56" s="31"/>
      <c r="F56" s="31"/>
      <c r="G56" s="31"/>
    </row>
    <row r="57" spans="1:7" ht="18">
      <c r="A57" s="36"/>
      <c r="B57" s="29"/>
      <c r="C57" s="29"/>
      <c r="D57" s="29"/>
      <c r="E57" s="31"/>
      <c r="F57" s="31"/>
      <c r="G57" s="31"/>
    </row>
    <row r="58" spans="1:7" ht="18">
      <c r="A58" s="36"/>
      <c r="B58" s="29"/>
      <c r="C58" s="29"/>
      <c r="D58" s="29"/>
      <c r="E58" s="29"/>
      <c r="F58" s="29"/>
      <c r="G58" s="29"/>
    </row>
    <row r="59" spans="1:7" ht="18">
      <c r="A59" s="36"/>
      <c r="B59" s="29"/>
      <c r="C59" s="29"/>
      <c r="D59" s="29"/>
      <c r="E59" s="31"/>
      <c r="F59" s="31"/>
      <c r="G59" s="31"/>
    </row>
    <row r="60" spans="1:7" ht="18">
      <c r="A60" s="36"/>
      <c r="B60" s="29"/>
      <c r="C60" s="29"/>
      <c r="D60" s="29"/>
      <c r="E60" s="31"/>
      <c r="F60" s="31"/>
      <c r="G60" s="31"/>
    </row>
    <row r="61" spans="1:7" ht="18">
      <c r="A61" s="36"/>
      <c r="B61" s="29"/>
      <c r="C61" s="29"/>
      <c r="D61" s="29"/>
      <c r="E61" s="31"/>
      <c r="F61" s="31"/>
      <c r="G61" s="31"/>
    </row>
    <row r="62" spans="1:7" ht="18">
      <c r="A62" s="36"/>
      <c r="B62" s="29"/>
      <c r="C62" s="29"/>
      <c r="D62" s="29"/>
      <c r="E62" s="31"/>
      <c r="F62" s="31"/>
      <c r="G62" s="31"/>
    </row>
    <row r="63" spans="1:7" ht="18">
      <c r="A63" s="36"/>
      <c r="B63" s="29"/>
      <c r="C63" s="29"/>
      <c r="D63" s="29"/>
      <c r="E63" s="31"/>
      <c r="F63" s="31"/>
      <c r="G63" s="31"/>
    </row>
    <row r="64" spans="1:7" ht="18">
      <c r="A64" s="36"/>
      <c r="B64" s="29"/>
      <c r="C64" s="29"/>
      <c r="D64" s="29"/>
      <c r="E64" s="31"/>
      <c r="F64" s="31"/>
      <c r="G64" s="31"/>
    </row>
    <row r="65" spans="1:7" ht="18">
      <c r="A65" s="36"/>
      <c r="B65" s="29"/>
      <c r="C65" s="29"/>
      <c r="D65" s="29"/>
      <c r="E65" s="31"/>
      <c r="F65" s="31"/>
      <c r="G65" s="31"/>
    </row>
    <row r="66" spans="1:7" ht="18">
      <c r="A66" s="36"/>
      <c r="B66" s="29"/>
      <c r="C66" s="29"/>
      <c r="D66" s="29"/>
      <c r="E66" s="31"/>
      <c r="F66" s="31"/>
      <c r="G66" s="31"/>
    </row>
  </sheetData>
  <sheetProtection/>
  <mergeCells count="24">
    <mergeCell ref="B1:N1"/>
    <mergeCell ref="B21:G21"/>
    <mergeCell ref="A21:A22"/>
    <mergeCell ref="A2:A3"/>
    <mergeCell ref="B2:I2"/>
    <mergeCell ref="J2:N2"/>
    <mergeCell ref="BT2:BT3"/>
    <mergeCell ref="A18:R18"/>
    <mergeCell ref="O2:R2"/>
    <mergeCell ref="BS2:BS3"/>
    <mergeCell ref="BM2:BN2"/>
    <mergeCell ref="BO2:BP2"/>
    <mergeCell ref="BD2:BE2"/>
    <mergeCell ref="BQ2:BR2"/>
    <mergeCell ref="BF2:BL2"/>
    <mergeCell ref="S2:U2"/>
    <mergeCell ref="V2:Y2"/>
    <mergeCell ref="AD2:AI2"/>
    <mergeCell ref="AZ2:BC2"/>
    <mergeCell ref="Z2:AC2"/>
    <mergeCell ref="AJ2:AO2"/>
    <mergeCell ref="AP2:AQ2"/>
    <mergeCell ref="AR2:AW2"/>
    <mergeCell ref="AX2:AY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49" r:id="rId1"/>
  <rowBreaks count="1" manualBreakCount="1">
    <brk id="19" max="70" man="1"/>
  </rowBreaks>
  <colBreaks count="6" manualBreakCount="6">
    <brk id="18" max="18" man="1"/>
    <brk id="35" max="18" man="1"/>
    <brk id="43" max="18" man="1"/>
    <brk id="51" max="18" man="1"/>
    <brk id="64" max="18" man="1"/>
    <brk id="71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user</cp:lastModifiedBy>
  <cp:lastPrinted>2023-02-15T12:39:02Z</cp:lastPrinted>
  <dcterms:created xsi:type="dcterms:W3CDTF">2009-01-27T10:52:16Z</dcterms:created>
  <dcterms:modified xsi:type="dcterms:W3CDTF">2023-03-13T07:25:33Z</dcterms:modified>
  <cp:category/>
  <cp:version/>
  <cp:contentType/>
  <cp:contentStatus/>
</cp:coreProperties>
</file>